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3 ARBEIT, ERWERB\Arbeit und Erwerb - Strukturerhebung\2022\"/>
    </mc:Choice>
  </mc:AlternateContent>
  <workbookProtection lockStructure="1"/>
  <bookViews>
    <workbookView xWindow="14300" yWindow="0" windowWidth="14610" windowHeight="15590"/>
  </bookViews>
  <sheets>
    <sheet name="Schweiz" sheetId="1" r:id="rId1"/>
    <sheet name="Uebersetzunge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Q14" i="1" l="1"/>
  <c r="O14" i="1"/>
  <c r="G14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A54" i="1"/>
  <c r="I14" i="1"/>
  <c r="E14" i="1"/>
  <c r="C14" i="1"/>
  <c r="B17" i="1" l="1"/>
  <c r="B16" i="1"/>
  <c r="A16" i="1"/>
  <c r="A43" i="1"/>
  <c r="A15" i="1"/>
  <c r="A53" i="1"/>
  <c r="A44" i="1"/>
  <c r="Q13" i="1"/>
  <c r="O13" i="1"/>
  <c r="M13" i="1"/>
  <c r="K13" i="1"/>
  <c r="I13" i="1"/>
  <c r="G13" i="1"/>
  <c r="E13" i="1"/>
  <c r="R14" i="1"/>
  <c r="P14" i="1"/>
  <c r="N14" i="1"/>
  <c r="M14" i="1"/>
  <c r="L14" i="1"/>
  <c r="K14" i="1"/>
  <c r="J14" i="1"/>
  <c r="H14" i="1"/>
  <c r="F14" i="1"/>
  <c r="D14" i="1"/>
  <c r="C13" i="1"/>
  <c r="A10" i="1"/>
  <c r="A9" i="1"/>
  <c r="A7" i="1"/>
  <c r="A45" i="1" l="1"/>
  <c r="A46" i="1"/>
</calcChain>
</file>

<file path=xl/sharedStrings.xml><?xml version="1.0" encoding="utf-8"?>
<sst xmlns="http://schemas.openxmlformats.org/spreadsheetml/2006/main" count="227" uniqueCount="207">
  <si>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</si>
  <si>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</si>
  <si>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</si>
  <si>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</si>
  <si>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</si>
  <si>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</si>
  <si>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</si>
  <si>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</si>
  <si>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</si>
  <si>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</si>
  <si>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</si>
  <si>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</si>
  <si>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</si>
  <si>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</si>
  <si>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</si>
  <si>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</si>
  <si>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T1-2</t>
  </si>
  <si>
    <t>&lt;SpaltenTitel_1&gt;</t>
  </si>
  <si>
    <t>Total Bevölkerung (ab 15 Jahren)</t>
  </si>
  <si>
    <t>Total populaziun (a partir da 15 onns)</t>
  </si>
  <si>
    <t>Totale</t>
  </si>
  <si>
    <t>&lt;SpaltenTitel_2&gt;</t>
  </si>
  <si>
    <t>Total Erwerbspersonen (ab 15 Jahren)</t>
  </si>
  <si>
    <t>Total persunas cun activitad da gudogn (a partir da 15 onns)</t>
  </si>
  <si>
    <t>&lt;SpaltenTitel_3&gt;</t>
  </si>
  <si>
    <t>Standardisierte Erwerbsquote (ab 15 Jahren)</t>
  </si>
  <si>
    <t>Quota d'activitad da gudogn standardisada (a partir da 15 onns)</t>
  </si>
  <si>
    <t>&lt;SpaltenTitel_4&gt;</t>
  </si>
  <si>
    <t>Total Bevölkerung (15 bis 64 Jahre)</t>
  </si>
  <si>
    <t>Total populaziun (15 fin 64 onns)</t>
  </si>
  <si>
    <t>&lt;SpaltenTitel_5&gt;</t>
  </si>
  <si>
    <t>Total Erwerbspersonen (15 bis 64 Jahre)</t>
  </si>
  <si>
    <t>Total persunas cun activitad da gudogn (15 fin 64 onns)</t>
  </si>
  <si>
    <t>&lt;SpaltenTitel_6&gt;</t>
  </si>
  <si>
    <t>Total Erwerbslose (15 bis 64 Jahre)</t>
  </si>
  <si>
    <t>Total persunas senza activitad da gudogn (15 fin 64 onns)</t>
  </si>
  <si>
    <t>&lt;SpaltenTitel_7&gt;</t>
  </si>
  <si>
    <t>Nettoerwerbsquote (15 bis 64 Jahre)</t>
  </si>
  <si>
    <t>Quota da gudogn net (15 fin 64 onns)</t>
  </si>
  <si>
    <t>&lt;SpaltenTitel_8&gt;</t>
  </si>
  <si>
    <t>Erwerbslosenquote (15 bis 64 Jahre)</t>
  </si>
  <si>
    <t>quota da persunas dischoccupadas (15 fin 64 onns)</t>
  </si>
  <si>
    <t>&lt;SpaltenTitel_1.1&gt;</t>
  </si>
  <si>
    <t>Anzahl Personen</t>
  </si>
  <si>
    <t>Dumber da persunas</t>
  </si>
  <si>
    <t>Numero di persone</t>
  </si>
  <si>
    <t>&lt;SpaltenTitel_1.2&gt;</t>
  </si>
  <si>
    <t>Vertrauens- intervall:          ± (in %)</t>
  </si>
  <si>
    <t>Interval da confidenza:          ± (en %)</t>
  </si>
  <si>
    <t>Intervallo di confidenza:          ± (in %)</t>
  </si>
  <si>
    <t>&lt;SpaltenTitel_1.3&gt;</t>
  </si>
  <si>
    <t>in %</t>
  </si>
  <si>
    <t>en %</t>
  </si>
  <si>
    <t>&lt;Zeilentitel_1&gt;</t>
  </si>
  <si>
    <t>Total</t>
  </si>
  <si>
    <t>&lt;Zeilentitel_2&gt;</t>
  </si>
  <si>
    <t>Kanton</t>
  </si>
  <si>
    <t>Chantun</t>
  </si>
  <si>
    <t>Cantone</t>
  </si>
  <si>
    <t>&lt;Zeilentitel_2.1&gt;</t>
  </si>
  <si>
    <t>Zürich</t>
  </si>
  <si>
    <t>Turitg</t>
  </si>
  <si>
    <t>Zurigo</t>
  </si>
  <si>
    <t>&lt;Zeilentitel_2.2&gt;</t>
  </si>
  <si>
    <t>Bern</t>
  </si>
  <si>
    <t>Berna</t>
  </si>
  <si>
    <t>&lt;Zeilentitel_2.3&gt;</t>
  </si>
  <si>
    <t>Luzern</t>
  </si>
  <si>
    <t>Lucerna</t>
  </si>
  <si>
    <t>&lt;Zeilentitel_2.4&gt;</t>
  </si>
  <si>
    <t>Uri</t>
  </si>
  <si>
    <t>&lt;Zeilentitel_2.5&gt;</t>
  </si>
  <si>
    <t>Schwyz</t>
  </si>
  <si>
    <t>Sviz</t>
  </si>
  <si>
    <t>Svitto</t>
  </si>
  <si>
    <t>&lt;Zeilentitel_2.6&gt;</t>
  </si>
  <si>
    <t>Obwalden</t>
  </si>
  <si>
    <t>Sursilvania</t>
  </si>
  <si>
    <t>Obvaldo</t>
  </si>
  <si>
    <t>&lt;Zeilentitel_2.7&gt;</t>
  </si>
  <si>
    <t>Nidwalden</t>
  </si>
  <si>
    <t>Sutsilvania</t>
  </si>
  <si>
    <t>Nidvaldo</t>
  </si>
  <si>
    <t>&lt;Zeilentitel_2.8&gt;</t>
  </si>
  <si>
    <t>Glarus</t>
  </si>
  <si>
    <t>Glaruna</t>
  </si>
  <si>
    <t>Glarona</t>
  </si>
  <si>
    <t>&lt;Zeilentitel_2.9&gt;</t>
  </si>
  <si>
    <t>Zug</t>
  </si>
  <si>
    <t>Zugo</t>
  </si>
  <si>
    <t>&lt;Zeilentitel_2.10&gt;</t>
  </si>
  <si>
    <t>Freiburg</t>
  </si>
  <si>
    <t>Friburg</t>
  </si>
  <si>
    <t>Friborgo</t>
  </si>
  <si>
    <t>&lt;Zeilentitel_2.11&gt;</t>
  </si>
  <si>
    <t>Solothurn</t>
  </si>
  <si>
    <t>Soloturn</t>
  </si>
  <si>
    <t>Soletta</t>
  </si>
  <si>
    <t>&lt;Zeilentitel_2.12&gt;</t>
  </si>
  <si>
    <t>Basel-Stadt</t>
  </si>
  <si>
    <t>Basilea-Citad</t>
  </si>
  <si>
    <t>Basilea Città</t>
  </si>
  <si>
    <t>&lt;Zeilentitel_2.13&gt;</t>
  </si>
  <si>
    <t>Basel-Landschaft</t>
  </si>
  <si>
    <t>Basilea-Champagna</t>
  </si>
  <si>
    <t>Basilea Campagna</t>
  </si>
  <si>
    <t>&lt;Zeilentitel_2.14&gt;</t>
  </si>
  <si>
    <t>Schaffhausen</t>
  </si>
  <si>
    <t>Schaffusa</t>
  </si>
  <si>
    <t>Sciaffusa</t>
  </si>
  <si>
    <t>&lt;Zeilentitel_2.15&gt;</t>
  </si>
  <si>
    <t>Appenzell Ausserrhoden</t>
  </si>
  <si>
    <t>Appenzell Dadora</t>
  </si>
  <si>
    <t>Appenzello Esterno</t>
  </si>
  <si>
    <t>&lt;Zeilentitel_2.16&gt;</t>
  </si>
  <si>
    <t>Appenzell Innerrhoden</t>
  </si>
  <si>
    <t>Appenzell Dadens</t>
  </si>
  <si>
    <t>Appenzello Interno</t>
  </si>
  <si>
    <t>&lt;Zeilentitel_2.17&gt;</t>
  </si>
  <si>
    <t>St. Gallen</t>
  </si>
  <si>
    <t>Son Gagl</t>
  </si>
  <si>
    <t>San Gallo</t>
  </si>
  <si>
    <t>&lt;Zeilentitel_2.18&gt;</t>
  </si>
  <si>
    <t>Graubünden</t>
  </si>
  <si>
    <t>Grischun</t>
  </si>
  <si>
    <t>Grigioni</t>
  </si>
  <si>
    <t>&lt;Zeilentitel_2.19&gt;</t>
  </si>
  <si>
    <t>Aargau</t>
  </si>
  <si>
    <t>Argovia</t>
  </si>
  <si>
    <t>&lt;Zeilentitel_2.20&gt;</t>
  </si>
  <si>
    <t>Thurgau</t>
  </si>
  <si>
    <t>Turgovia</t>
  </si>
  <si>
    <t>&lt;Zeilentitel_2.21&gt;</t>
  </si>
  <si>
    <t>Ticino</t>
  </si>
  <si>
    <t>Tessin</t>
  </si>
  <si>
    <t>&lt;Zeilentitel_2.22&gt;</t>
  </si>
  <si>
    <t>Vaud</t>
  </si>
  <si>
    <t>Vad</t>
  </si>
  <si>
    <t>&lt;Zeilentitel_2.23&gt;</t>
  </si>
  <si>
    <t>Wallis</t>
  </si>
  <si>
    <t>Vallais</t>
  </si>
  <si>
    <t>Vallese</t>
  </si>
  <si>
    <t>&lt;Zeilentitel_2.24&gt;</t>
  </si>
  <si>
    <t>Neuchâtel</t>
  </si>
  <si>
    <t>&lt;Zeilentitel_2.25&gt;</t>
  </si>
  <si>
    <t>Genève</t>
  </si>
  <si>
    <t>Genevra</t>
  </si>
  <si>
    <t>Ginevra</t>
  </si>
  <si>
    <t>&lt;Zeilentitel_2.26&gt;</t>
  </si>
  <si>
    <t>Jura</t>
  </si>
  <si>
    <t>Giura</t>
  </si>
  <si>
    <t>&lt;Legende_1&gt;</t>
  </si>
  <si>
    <t>Definitionen:</t>
  </si>
  <si>
    <t>Definiziuns:</t>
  </si>
  <si>
    <t>&lt;Legende_2&gt;</t>
  </si>
  <si>
    <t>Erwerbsquote = Erwerbspersonen / Referenzbevölkerung x 100</t>
  </si>
  <si>
    <t>Quota d'activitad da gudogn = persunas cun activitad da gudogn / populaziun da referenza x 100</t>
  </si>
  <si>
    <t>&lt;Legende_3&gt;</t>
  </si>
  <si>
    <t>Standardisierte Erwerbsquote (gemessen an der Bevölkerung ab 15 Jahren)</t>
  </si>
  <si>
    <t>Quota d'activitad da gudogn standardisada (mesirada a la populaziun a partir da 15 onns)</t>
  </si>
  <si>
    <t>&lt;Legende_4&gt;</t>
  </si>
  <si>
    <t>Nettoerwerbsquote (gemessen an der Bevölkerung zwischen 15 und 64 Jahren)</t>
  </si>
  <si>
    <t>Quota da gudogn net (mesirada a la populaziun tranter 15 e 64 onns)</t>
  </si>
  <si>
    <t>&lt;Legende_5&gt;</t>
  </si>
  <si>
    <t>Erwerbslosenquote = Erwerbslose / Erwerbspersonen x 100</t>
  </si>
  <si>
    <t>&lt;Legende_6&gt;</t>
  </si>
  <si>
    <t>(): Extrapolation aufgrund von 49 oder weniger Beobachtungen. Die Resultate sind mit grosser Vorsicht zu interpretieren.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</si>
  <si>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</si>
  <si>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</si>
  <si>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&lt;Legende_7&gt;</t>
  </si>
  <si>
    <t>X: Extrapolation aufgrund von 4 oder weniger Beobachtungen. Die Resultate werden aus Gründen des Datenschutzes nicht publiziert.</t>
  </si>
  <si>
    <t>X: Extrapolaziun pervia da 4 u damain observaziuns. Per motivs da la protecziun da datas na vegnan ils resultats betg publitgads.</t>
  </si>
  <si>
    <t>X : Estrapolazione basata su meno di 5 osservazioni. I risultati non sono pubblicati per ragioni legate alla protezione dei dati.</t>
  </si>
  <si>
    <t>&lt;Legende_8&gt;</t>
  </si>
  <si>
    <t>Die Grundgesamtheit der Strukturerhebung enthält alle Personen der ständigen Wohnbevölkerung ab vollendetem 15. Altersjahr, die in Privathaushalten leben.</t>
  </si>
  <si>
    <t>La survista da basa da l'enquista da structura cumpiglia tut las persunas da la populaziun residenta permanenta a partir da 15 onns che vivan en chasadas privatas.</t>
  </si>
  <si>
    <t>L'universo di base della rilevazione strutturale comprende tutte le persone facenti parte della popolazione residente permanente di 15 anni e più che vivono in un'economia domestica.</t>
  </si>
  <si>
    <t>&lt;Legende_9&gt;</t>
  </si>
  <si>
    <t>Aus der Grundgesamtheit ausgeschlossen wurden neben den Personen, die in Kollektivhaushalten leben, auch Diplomaten, internationale Funktionäre und deren Angehörige.</t>
  </si>
  <si>
    <t>Exclus da la totalitad fundamentala èn vegnids ultra da las persunas che vivan en chasadas collectivas er diplomats, funcziunaris internaziunals e lur confamigliars.</t>
  </si>
  <si>
    <t>Sono esclusi diplomatici, i funzionari internazionali ed i loro familiari e le persone che vivono in una collettività.</t>
  </si>
  <si>
    <t>&lt;Quelle_1&gt;</t>
  </si>
  <si>
    <t>Quelle: BFS (Strukturerhebung)</t>
  </si>
  <si>
    <t>Funtauna: UST (enquista da structura)</t>
  </si>
  <si>
    <t>Fonte: UST (Rilevazione strutturale)</t>
  </si>
  <si>
    <t>&lt;Aktualisierung&gt;</t>
  </si>
  <si>
    <t>Erwerbs- und Erwerbslosenquote nach Kanton</t>
  </si>
  <si>
    <t>Quota da gudogn e da persunas senza gudogn tenor il chantun</t>
  </si>
  <si>
    <t>Tasso di attività e tasso di disoccupazione secondo il Cantone</t>
  </si>
  <si>
    <t>Popolazione totale
(15 anni e più)</t>
  </si>
  <si>
    <t>Persone attive
(15 anni e più)</t>
  </si>
  <si>
    <t>Tasso di attività standardizzato
(15 anni e più)</t>
  </si>
  <si>
    <t>Popolazione totale 
(15 ai 64 anni)</t>
  </si>
  <si>
    <t>Persone attive 
(15 ai 64 anni)</t>
  </si>
  <si>
    <t>Disoccupati
(15 ai 64 anni)</t>
  </si>
  <si>
    <t>Tasso di attività netto 
(15 ai 64 anni)</t>
  </si>
  <si>
    <t>Tasso di disoccupazione
(15 ai 64 anni)</t>
  </si>
  <si>
    <t>Definizioni:</t>
  </si>
  <si>
    <t>Tasso di attività = persone attive / popolazione di riferimento x 100</t>
  </si>
  <si>
    <t>Il tasso di attività standardizzato è calcolato sulla popolazione di 15 anni e più.</t>
  </si>
  <si>
    <t>Il tasso di attività netto è calcolato per la popolazione dai 15 ai 64 anni.</t>
  </si>
  <si>
    <t>Tasso di disoccupazione = Disoccupati / persone attive x100</t>
  </si>
  <si>
    <t>Quota da persunas senza gudogn = persunas dischoccupadas / persunas cun activitad da gudogn x 100</t>
  </si>
  <si>
    <t>Letztmals aktualisiert am: 26.01.2024</t>
  </si>
  <si>
    <t>Ultima actualisaziun: 26.01.2024</t>
  </si>
  <si>
    <t>Ulimo aggiornamento: 26.01.2024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</si>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</sst>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"/>
    <numFmt numFmtId="168" formatCode="\(0.0\)"/>
    <numFmt numFmtId="169" formatCode="_-* #,##0.00\ _€_-;\-* #,##0.00\ _€_-;_-* &quot;-&quot;??\ _€_-;_-@_-"/>
    <numFmt numFmtId="170" formatCode="* #,###"/>
    <numFmt numFmtId="171" formatCode="\(0\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3" applyFont="1" applyFill="1" applyAlignment="1">
      <alignment horizontal="left" vertical="top"/>
    </xf>
    <xf numFmtId="164" fontId="8" fillId="2" borderId="0" xfId="4" applyNumberFormat="1" applyFont="1" applyFill="1" applyBorder="1" applyAlignment="1" applyProtection="1">
      <alignment horizontal="left" vertical="top"/>
    </xf>
    <xf numFmtId="0" fontId="9" fillId="2" borderId="0" xfId="3" applyFont="1" applyFill="1" applyAlignment="1">
      <alignment horizontal="right" vertical="center"/>
    </xf>
    <xf numFmtId="0" fontId="3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3" fontId="4" fillId="2" borderId="0" xfId="1" applyNumberFormat="1" applyFont="1" applyFill="1" applyBorder="1" applyAlignment="1" applyProtection="1">
      <alignment horizontal="right" wrapText="1"/>
    </xf>
    <xf numFmtId="165" fontId="4" fillId="2" borderId="0" xfId="2" applyNumberFormat="1" applyFont="1" applyFill="1" applyBorder="1" applyAlignment="1" applyProtection="1">
      <alignment horizontal="right" wrapText="1"/>
    </xf>
    <xf numFmtId="166" fontId="4" fillId="2" borderId="0" xfId="1" applyNumberFormat="1" applyFont="1" applyFill="1" applyBorder="1" applyAlignment="1" applyProtection="1">
      <alignment horizontal="right" wrapText="1"/>
    </xf>
    <xf numFmtId="165" fontId="4" fillId="2" borderId="0" xfId="1" applyNumberFormat="1" applyFont="1" applyFill="1" applyBorder="1" applyAlignment="1" applyProtection="1">
      <alignment horizontal="right" wrapText="1"/>
    </xf>
    <xf numFmtId="0" fontId="11" fillId="4" borderId="0" xfId="0" applyFont="1" applyFill="1" applyAlignment="1">
      <alignment horizontal="left" vertical="top"/>
    </xf>
    <xf numFmtId="0" fontId="10" fillId="2" borderId="4" xfId="0" applyFont="1" applyFill="1" applyBorder="1" applyAlignment="1">
      <alignment horizontal="left" vertical="top" wrapText="1"/>
    </xf>
    <xf numFmtId="3" fontId="4" fillId="2" borderId="8" xfId="6" applyNumberFormat="1" applyFont="1" applyFill="1" applyBorder="1" applyAlignment="1" applyProtection="1">
      <alignment horizontal="right" vertical="center" wrapText="1"/>
    </xf>
    <xf numFmtId="167" fontId="4" fillId="2" borderId="0" xfId="6" applyNumberFormat="1" applyFont="1" applyFill="1" applyBorder="1" applyAlignment="1" applyProtection="1">
      <alignment horizontal="right" vertical="center" wrapText="1"/>
    </xf>
    <xf numFmtId="3" fontId="4" fillId="2" borderId="0" xfId="6" applyNumberFormat="1" applyFont="1" applyFill="1" applyBorder="1" applyAlignment="1" applyProtection="1">
      <alignment horizontal="right" vertical="center" wrapText="1"/>
    </xf>
    <xf numFmtId="167" fontId="4" fillId="2" borderId="7" xfId="6" applyNumberFormat="1" applyFont="1" applyFill="1" applyBorder="1" applyAlignment="1" applyProtection="1">
      <alignment horizontal="right" vertical="center" wrapText="1"/>
    </xf>
    <xf numFmtId="168" fontId="4" fillId="2" borderId="7" xfId="6" applyNumberFormat="1" applyFont="1" applyFill="1" applyBorder="1" applyAlignment="1" applyProtection="1">
      <alignment horizontal="right" vertical="center" wrapText="1"/>
    </xf>
    <xf numFmtId="3" fontId="4" fillId="2" borderId="6" xfId="6" applyNumberFormat="1" applyFont="1" applyFill="1" applyBorder="1" applyAlignment="1" applyProtection="1">
      <alignment horizontal="right" vertical="center" wrapText="1"/>
    </xf>
    <xf numFmtId="171" fontId="4" fillId="2" borderId="6" xfId="6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vertical="top" wrapText="1"/>
    </xf>
    <xf numFmtId="3" fontId="4" fillId="3" borderId="8" xfId="6" applyNumberFormat="1" applyFont="1" applyFill="1" applyBorder="1" applyAlignment="1" applyProtection="1">
      <alignment horizontal="right" vertical="center" wrapText="1"/>
    </xf>
    <xf numFmtId="167" fontId="4" fillId="3" borderId="7" xfId="6" applyNumberFormat="1" applyFont="1" applyFill="1" applyBorder="1" applyAlignment="1" applyProtection="1">
      <alignment horizontal="right" vertical="center" wrapText="1"/>
    </xf>
    <xf numFmtId="3" fontId="4" fillId="3" borderId="6" xfId="6" applyNumberFormat="1" applyFont="1" applyFill="1" applyBorder="1" applyAlignment="1" applyProtection="1">
      <alignment horizontal="right" vertical="center" wrapText="1"/>
    </xf>
    <xf numFmtId="167" fontId="4" fillId="3" borderId="0" xfId="6" applyNumberFormat="1" applyFont="1" applyFill="1" applyBorder="1" applyAlignment="1" applyProtection="1">
      <alignment horizontal="right" vertical="center" wrapText="1"/>
    </xf>
    <xf numFmtId="3" fontId="4" fillId="3" borderId="0" xfId="6" applyNumberFormat="1" applyFont="1" applyFill="1" applyBorder="1" applyAlignment="1" applyProtection="1">
      <alignment horizontal="right" vertical="center" wrapText="1"/>
    </xf>
    <xf numFmtId="3" fontId="4" fillId="2" borderId="8" xfId="6" applyNumberFormat="1" applyFont="1" applyFill="1" applyBorder="1" applyAlignment="1" applyProtection="1">
      <alignment horizontal="left" vertical="center" wrapText="1"/>
    </xf>
    <xf numFmtId="3" fontId="4" fillId="3" borderId="8" xfId="6" applyNumberFormat="1" applyFont="1" applyFill="1" applyBorder="1" applyAlignment="1" applyProtection="1">
      <alignment horizontal="left" vertical="center" wrapText="1"/>
    </xf>
    <xf numFmtId="167" fontId="4" fillId="2" borderId="6" xfId="6" applyNumberFormat="1" applyFont="1" applyFill="1" applyBorder="1" applyAlignment="1" applyProtection="1">
      <alignment horizontal="right" vertical="center" wrapText="1"/>
    </xf>
    <xf numFmtId="1" fontId="4" fillId="2" borderId="6" xfId="6" applyNumberFormat="1" applyFont="1" applyFill="1" applyBorder="1" applyAlignment="1" applyProtection="1">
      <alignment horizontal="right" vertical="center" wrapText="1"/>
    </xf>
    <xf numFmtId="167" fontId="4" fillId="3" borderId="6" xfId="6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167" fontId="4" fillId="2" borderId="2" xfId="6" applyNumberFormat="1" applyFont="1" applyFill="1" applyBorder="1" applyAlignment="1" applyProtection="1">
      <alignment horizontal="right" vertical="center" wrapText="1"/>
    </xf>
    <xf numFmtId="168" fontId="4" fillId="2" borderId="2" xfId="6" applyNumberFormat="1" applyFont="1" applyFill="1" applyBorder="1" applyAlignment="1" applyProtection="1">
      <alignment horizontal="right" vertical="center" wrapText="1"/>
    </xf>
    <xf numFmtId="167" fontId="4" fillId="3" borderId="2" xfId="6" applyNumberFormat="1" applyFont="1" applyFill="1" applyBorder="1" applyAlignment="1" applyProtection="1">
      <alignment horizontal="right" vertical="center" wrapText="1"/>
    </xf>
    <xf numFmtId="3" fontId="4" fillId="2" borderId="12" xfId="6" applyNumberFormat="1" applyFont="1" applyFill="1" applyBorder="1" applyAlignment="1" applyProtection="1">
      <alignment horizontal="left" vertical="center" wrapText="1"/>
    </xf>
    <xf numFmtId="3" fontId="4" fillId="2" borderId="12" xfId="6" applyNumberFormat="1" applyFont="1" applyFill="1" applyBorder="1" applyAlignment="1" applyProtection="1">
      <alignment horizontal="right" vertical="center" wrapText="1"/>
    </xf>
    <xf numFmtId="167" fontId="4" fillId="2" borderId="11" xfId="6" applyNumberFormat="1" applyFont="1" applyFill="1" applyBorder="1" applyAlignment="1" applyProtection="1">
      <alignment horizontal="right" vertical="center" wrapText="1"/>
    </xf>
    <xf numFmtId="3" fontId="4" fillId="2" borderId="10" xfId="6" applyNumberFormat="1" applyFont="1" applyFill="1" applyBorder="1" applyAlignment="1" applyProtection="1">
      <alignment horizontal="right" vertical="center" wrapText="1"/>
    </xf>
    <xf numFmtId="167" fontId="4" fillId="2" borderId="1" xfId="6" applyNumberFormat="1" applyFont="1" applyFill="1" applyBorder="1" applyAlignment="1" applyProtection="1">
      <alignment horizontal="right" vertical="center" wrapText="1"/>
    </xf>
    <xf numFmtId="167" fontId="4" fillId="2" borderId="10" xfId="6" applyNumberFormat="1" applyFont="1" applyFill="1" applyBorder="1" applyAlignment="1" applyProtection="1">
      <alignment horizontal="right" vertical="center" wrapText="1"/>
    </xf>
    <xf numFmtId="3" fontId="4" fillId="2" borderId="1" xfId="6" applyNumberFormat="1" applyFont="1" applyFill="1" applyBorder="1" applyAlignment="1" applyProtection="1">
      <alignment horizontal="right" vertical="center" wrapText="1"/>
    </xf>
    <xf numFmtId="167" fontId="4" fillId="2" borderId="3" xfId="6" applyNumberFormat="1" applyFont="1" applyFill="1" applyBorder="1" applyAlignment="1" applyProtection="1">
      <alignment horizontal="right" vertical="center" wrapText="1"/>
    </xf>
    <xf numFmtId="0" fontId="4" fillId="0" borderId="0" xfId="3" applyFont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170" fontId="12" fillId="2" borderId="15" xfId="6" applyNumberFormat="1" applyFont="1" applyFill="1" applyBorder="1" applyAlignment="1" applyProtection="1">
      <alignment horizontal="right" vertical="center" wrapText="1"/>
    </xf>
    <xf numFmtId="167" fontId="12" fillId="2" borderId="5" xfId="6" applyNumberFormat="1" applyFont="1" applyFill="1" applyBorder="1" applyAlignment="1" applyProtection="1">
      <alignment horizontal="right" vertical="center" wrapText="1"/>
    </xf>
    <xf numFmtId="170" fontId="12" fillId="2" borderId="16" xfId="6" applyNumberFormat="1" applyFont="1" applyFill="1" applyBorder="1" applyAlignment="1" applyProtection="1">
      <alignment horizontal="right" vertical="center" wrapText="1"/>
    </xf>
    <xf numFmtId="167" fontId="12" fillId="2" borderId="17" xfId="6" applyNumberFormat="1" applyFont="1" applyFill="1" applyBorder="1" applyAlignment="1" applyProtection="1">
      <alignment horizontal="right" vertical="center" wrapText="1"/>
    </xf>
    <xf numFmtId="167" fontId="12" fillId="2" borderId="16" xfId="6" applyNumberFormat="1" applyFont="1" applyFill="1" applyBorder="1" applyAlignment="1" applyProtection="1">
      <alignment horizontal="right" vertical="center" wrapText="1"/>
    </xf>
    <xf numFmtId="170" fontId="12" fillId="2" borderId="17" xfId="6" applyNumberFormat="1" applyFont="1" applyFill="1" applyBorder="1" applyAlignment="1" applyProtection="1">
      <alignment horizontal="right" vertical="center" wrapText="1"/>
    </xf>
    <xf numFmtId="3" fontId="12" fillId="2" borderId="16" xfId="6" applyNumberFormat="1" applyFont="1" applyFill="1" applyBorder="1" applyAlignment="1" applyProtection="1">
      <alignment horizontal="right" vertical="center" wrapText="1"/>
    </xf>
    <xf numFmtId="167" fontId="12" fillId="2" borderId="18" xfId="6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>
      <alignment vertical="top" wrapText="1"/>
    </xf>
    <xf numFmtId="0" fontId="11" fillId="2" borderId="22" xfId="1" applyNumberFormat="1" applyFont="1" applyFill="1" applyBorder="1" applyAlignment="1" applyProtection="1">
      <alignment horizontal="right" vertical="top" wrapText="1"/>
    </xf>
    <xf numFmtId="0" fontId="11" fillId="2" borderId="23" xfId="2" applyNumberFormat="1" applyFont="1" applyFill="1" applyBorder="1" applyAlignment="1" applyProtection="1">
      <alignment horizontal="right" vertical="top" wrapText="1"/>
    </xf>
    <xf numFmtId="0" fontId="11" fillId="2" borderId="23" xfId="1" applyNumberFormat="1" applyFont="1" applyFill="1" applyBorder="1" applyAlignment="1" applyProtection="1">
      <alignment horizontal="right" vertical="top" wrapText="1"/>
    </xf>
    <xf numFmtId="0" fontId="11" fillId="2" borderId="24" xfId="2" applyNumberFormat="1" applyFont="1" applyFill="1" applyBorder="1" applyAlignment="1" applyProtection="1">
      <alignment horizontal="right" vertical="top" wrapText="1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</cellXfs>
  <cellStyles count="16">
    <cellStyle name="Komma" xfId="1" builtinId="3"/>
    <cellStyle name="Komma 2" xfId="4"/>
    <cellStyle name="Komma 2 2" xfId="15"/>
    <cellStyle name="Komma 3" xfId="6"/>
    <cellStyle name="Komma 4" xfId="14"/>
    <cellStyle name="Normale 2" xfId="13"/>
    <cellStyle name="Prozent" xfId="2" builtinId="5"/>
    <cellStyle name="Prozent 2" xfId="5"/>
    <cellStyle name="Standard" xfId="0" builtinId="0"/>
    <cellStyle name="Standard 2" xfId="3"/>
    <cellStyle name="Standard 2 2" xfId="10"/>
    <cellStyle name="Standard 2 3" xfId="7"/>
    <cellStyle name="Standard 3" xfId="8"/>
    <cellStyle name="Standard 4" xfId="9"/>
    <cellStyle name="Standard 4 2" xfId="11"/>
    <cellStyle name="Standard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19050</xdr:rowOff>
    </xdr:from>
    <xdr:to>
      <xdr:col>5</xdr:col>
      <xdr:colOff>695939</xdr:colOff>
      <xdr:row>4</xdr:row>
      <xdr:rowOff>158223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200650" y="19050"/>
          <a:ext cx="2639039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2" cy="533405"/>
                <a:chOff x="6553200" y="374273"/>
                <a:chExt cx="1200152" cy="533405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2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549275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tabSelected="1" workbookViewId="0"/>
  </sheetViews>
  <sheetFormatPr baseColWidth="10" defaultColWidth="11.453125" defaultRowHeight="12.5" x14ac:dyDescent="0.25"/>
  <cols>
    <col min="1" max="1" width="19.81640625" style="1" customWidth="1"/>
    <col min="2" max="2" width="46.453125" style="1" customWidth="1"/>
    <col min="3" max="18" width="12" style="1" customWidth="1"/>
    <col min="19" max="16384" width="11.453125" style="1"/>
  </cols>
  <sheetData>
    <row r="1" spans="1:18" s="2" customFormat="1" x14ac:dyDescent="0.25"/>
    <row r="2" spans="1:18" s="2" customFormat="1" ht="15.5" x14ac:dyDescent="0.35">
      <c r="B2" s="3"/>
      <c r="C2" s="1"/>
      <c r="D2" s="1"/>
    </row>
    <row r="3" spans="1:18" s="2" customFormat="1" ht="15.5" x14ac:dyDescent="0.35">
      <c r="B3" s="3"/>
      <c r="C3" s="1"/>
      <c r="D3" s="1"/>
    </row>
    <row r="4" spans="1:18" s="2" customFormat="1" ht="15.5" x14ac:dyDescent="0.35">
      <c r="B4" s="3"/>
      <c r="C4" s="1"/>
      <c r="D4" s="1"/>
    </row>
    <row r="5" spans="1:18" s="2" customFormat="1" x14ac:dyDescent="0.25"/>
    <row r="6" spans="1:18" s="2" customFormat="1" x14ac:dyDescent="0.25"/>
    <row r="7" spans="1:18" s="2" customFormat="1" ht="15.75" customHeight="1" x14ac:dyDescent="0.35">
      <c r="A7" s="87" t="str">
        <f>VLOOKUP("&lt;Fachbereich&gt;",Uebersetzungen!$B$3:$E$202,Uebersetzungen!$B$2+1,FALSE)</f>
        <v>Daten &amp; Statistik</v>
      </c>
      <c r="B7" s="87"/>
      <c r="C7" s="4"/>
      <c r="D7" s="4"/>
      <c r="E7" s="4"/>
      <c r="F7" s="4"/>
      <c r="G7" s="4"/>
      <c r="H7" s="4"/>
    </row>
    <row r="8" spans="1:18" s="2" customFormat="1" x14ac:dyDescent="0.25"/>
    <row r="9" spans="1:18" s="8" customFormat="1" ht="17.5" x14ac:dyDescent="0.3">
      <c r="A9" s="24" t="str">
        <f>VLOOKUP("&lt;Titel&gt;",Uebersetzungen!$B$3:$E$202,Uebersetzungen!$B$2+1,FALSE)</f>
        <v>Erwerbs- und Erwerbslosenquote nach Kanton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s="8" customFormat="1" ht="14" x14ac:dyDescent="0.3">
      <c r="A10" s="25" t="str">
        <f>VLOOKUP("&lt;UTitel&gt;",Uebersetzungen!$B$3:$E$202,Uebersetzungen!$B$2+1,FALSE)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s="8" customFormat="1" ht="14.5" thickBot="1" x14ac:dyDescent="0.35">
      <c r="A11" s="25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ht="18" thickBot="1" x14ac:dyDescent="0.4">
      <c r="B12" s="37"/>
      <c r="C12" s="78">
        <v>2022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</row>
    <row r="13" spans="1:18" ht="39" customHeight="1" thickBot="1" x14ac:dyDescent="0.3">
      <c r="A13" s="10"/>
      <c r="B13" s="73"/>
      <c r="C13" s="88" t="str">
        <f>VLOOKUP("&lt;SpaltenTitel_1&gt;",Uebersetzungen!$B$3:$E$202,Uebersetzungen!$B$2+1,FALSE)</f>
        <v>Total Bevölkerung (ab 15 Jahren)</v>
      </c>
      <c r="D13" s="85"/>
      <c r="E13" s="85" t="str">
        <f>VLOOKUP("&lt;SpaltenTitel_2&gt;",Uebersetzungen!$B$3:$E$202,Uebersetzungen!$B$2+1,FALSE)</f>
        <v>Total Erwerbspersonen (ab 15 Jahren)</v>
      </c>
      <c r="F13" s="85"/>
      <c r="G13" s="85" t="str">
        <f>VLOOKUP("&lt;SpaltenTitel_3&gt;",Uebersetzungen!$B$3:$E$202,Uebersetzungen!$B$2+1,FALSE)</f>
        <v>Standardisierte Erwerbsquote (ab 15 Jahren)</v>
      </c>
      <c r="H13" s="85"/>
      <c r="I13" s="85" t="str">
        <f>VLOOKUP("&lt;SpaltenTitel_4&gt;",Uebersetzungen!$B$3:$E$202,Uebersetzungen!$B$2+1,FALSE)</f>
        <v>Total Bevölkerung (15 bis 64 Jahre)</v>
      </c>
      <c r="J13" s="85"/>
      <c r="K13" s="85" t="str">
        <f>VLOOKUP("&lt;SpaltenTitel_5&gt;",Uebersetzungen!$B$3:$E$202,Uebersetzungen!$B$2+1,FALSE)</f>
        <v>Total Erwerbspersonen (15 bis 64 Jahre)</v>
      </c>
      <c r="L13" s="85"/>
      <c r="M13" s="85" t="str">
        <f>VLOOKUP("&lt;SpaltenTitel_6&gt;",Uebersetzungen!$B$3:$E$202,Uebersetzungen!$B$2+1,FALSE)</f>
        <v>Total Erwerbslose (15 bis 64 Jahre)</v>
      </c>
      <c r="N13" s="85"/>
      <c r="O13" s="85" t="str">
        <f>VLOOKUP("&lt;SpaltenTitel_7&gt;",Uebersetzungen!$B$3:$E$202,Uebersetzungen!$B$2+1,FALSE)</f>
        <v>Nettoerwerbsquote (15 bis 64 Jahre)</v>
      </c>
      <c r="P13" s="85"/>
      <c r="Q13" s="85" t="str">
        <f>VLOOKUP("&lt;SpaltenTitel_8&gt;",Uebersetzungen!$B$3:$E$202,Uebersetzungen!$B$2+1,FALSE)</f>
        <v>Erwerbslosenquote (15 bis 64 Jahre)</v>
      </c>
      <c r="R13" s="86"/>
    </row>
    <row r="14" spans="1:18" ht="39.75" customHeight="1" thickBot="1" x14ac:dyDescent="0.3">
      <c r="A14" s="26"/>
      <c r="B14" s="26"/>
      <c r="C14" s="74" t="str">
        <f>VLOOKUP("&lt;SpaltenTitel_1.1&gt;",Uebersetzungen!$B$3:$E$202,Uebersetzungen!$B$2+1,FALSE)</f>
        <v>Anzahl Personen</v>
      </c>
      <c r="D14" s="75" t="str">
        <f>VLOOKUP("&lt;SpaltenTitel_1.2&gt;",Uebersetzungen!$B$3:$E$202,Uebersetzungen!$B$2+1,FALSE)</f>
        <v>Vertrauens- intervall:          ± (in %)</v>
      </c>
      <c r="E14" s="76" t="str">
        <f>VLOOKUP("&lt;SpaltenTitel_1.1&gt;",Uebersetzungen!$B$3:$E$202,Uebersetzungen!$B$2+1,FALSE)</f>
        <v>Anzahl Personen</v>
      </c>
      <c r="F14" s="75" t="str">
        <f>VLOOKUP("&lt;SpaltenTitel_1.2&gt;",Uebersetzungen!$B$3:$E$202,Uebersetzungen!$B$2+1,FALSE)</f>
        <v>Vertrauens- intervall:          ± (in %)</v>
      </c>
      <c r="G14" s="76" t="str">
        <f>VLOOKUP("&lt;SpaltenTitel_1.3&gt;",Uebersetzungen!$B$3:$E$202,Uebersetzungen!$B$2+1,FALSE)</f>
        <v>in %</v>
      </c>
      <c r="H14" s="75" t="str">
        <f>VLOOKUP("&lt;SpaltenTitel_1.2&gt;",Uebersetzungen!$B$3:$E$202,Uebersetzungen!$B$2+1,FALSE)</f>
        <v>Vertrauens- intervall:          ± (in %)</v>
      </c>
      <c r="I14" s="76" t="str">
        <f>VLOOKUP("&lt;SpaltenTitel_1.1&gt;",Uebersetzungen!$B$3:$E$202,Uebersetzungen!$B$2+1,FALSE)</f>
        <v>Anzahl Personen</v>
      </c>
      <c r="J14" s="75" t="str">
        <f>VLOOKUP("&lt;SpaltenTitel_1.2&gt;",Uebersetzungen!$B$3:$E$202,Uebersetzungen!$B$2+1,FALSE)</f>
        <v>Vertrauens- intervall:          ± (in %)</v>
      </c>
      <c r="K14" s="76" t="str">
        <f>VLOOKUP("&lt;SpaltenTitel_1.1&gt;",Uebersetzungen!$B$3:$E$202,Uebersetzungen!$B$2+1,FALSE)</f>
        <v>Anzahl Personen</v>
      </c>
      <c r="L14" s="75" t="str">
        <f>VLOOKUP("&lt;SpaltenTitel_1.2&gt;",Uebersetzungen!$B$3:$E$202,Uebersetzungen!$B$2+1,FALSE)</f>
        <v>Vertrauens- intervall:          ± (in %)</v>
      </c>
      <c r="M14" s="76" t="str">
        <f>VLOOKUP("&lt;SpaltenTitel_1.1&gt;",Uebersetzungen!$B$3:$E$202,Uebersetzungen!$B$2+1,FALSE)</f>
        <v>Anzahl Personen</v>
      </c>
      <c r="N14" s="75" t="str">
        <f>VLOOKUP("&lt;SpaltenTitel_1.2&gt;",Uebersetzungen!$B$3:$E$202,Uebersetzungen!$B$2+1,FALSE)</f>
        <v>Vertrauens- intervall:          ± (in %)</v>
      </c>
      <c r="O14" s="76" t="str">
        <f>VLOOKUP("&lt;SpaltenTitel_1.3&gt;",Uebersetzungen!$B$3:$E$202,Uebersetzungen!$B$2+1,FALSE)</f>
        <v>in %</v>
      </c>
      <c r="P14" s="75" t="str">
        <f>VLOOKUP("&lt;SpaltenTitel_1.2&gt;",Uebersetzungen!$B$3:$E$202,Uebersetzungen!$B$2+1,FALSE)</f>
        <v>Vertrauens- intervall:          ± (in %)</v>
      </c>
      <c r="Q14" s="76" t="str">
        <f>VLOOKUP("&lt;SpaltenTitel_1.3&gt;",Uebersetzungen!$B$3:$E$202,Uebersetzungen!$B$2+1,FALSE)</f>
        <v>in %</v>
      </c>
      <c r="R14" s="77" t="str">
        <f>VLOOKUP("&lt;SpaltenTitel_1.2&gt;",Uebersetzungen!$B$3:$E$202,Uebersetzungen!$B$2+1,FALSE)</f>
        <v>Vertrauens- intervall:          ± (in %)</v>
      </c>
    </row>
    <row r="15" spans="1:18" ht="12" customHeight="1" x14ac:dyDescent="0.25">
      <c r="A15" s="83" t="str">
        <f>VLOOKUP("&lt;Zeilentitel_1&gt;",Uebersetzungen!$B$3:$E$201,Uebersetzungen!$B$2+1,FALSE)</f>
        <v>Total</v>
      </c>
      <c r="B15" s="84"/>
      <c r="C15" s="65">
        <v>7307819.0000000512</v>
      </c>
      <c r="D15" s="66">
        <v>5.3159065886897602E-2</v>
      </c>
      <c r="E15" s="67">
        <v>4686630.4011998577</v>
      </c>
      <c r="F15" s="68">
        <v>0.29536999745590725</v>
      </c>
      <c r="G15" s="69">
        <v>64.131725227455959</v>
      </c>
      <c r="H15" s="66">
        <v>0.18223242793088446</v>
      </c>
      <c r="I15" s="70">
        <v>5701379.0000000317</v>
      </c>
      <c r="J15" s="66">
        <v>0.22213960211596975</v>
      </c>
      <c r="K15" s="67">
        <v>4566206.9558947673</v>
      </c>
      <c r="L15" s="68">
        <v>0.30691166970201489</v>
      </c>
      <c r="M15" s="71">
        <v>196404.94836952278</v>
      </c>
      <c r="N15" s="66">
        <v>2.3618743053679365</v>
      </c>
      <c r="O15" s="68">
        <v>80.089517920046006</v>
      </c>
      <c r="P15" s="66">
        <v>0.17661808011072822</v>
      </c>
      <c r="Q15" s="69">
        <v>4.3012712797866692</v>
      </c>
      <c r="R15" s="72">
        <v>0.1004053211714826</v>
      </c>
    </row>
    <row r="16" spans="1:18" x14ac:dyDescent="0.25">
      <c r="A16" s="81" t="str">
        <f>VLOOKUP("&lt;Zeilentitel_2&gt;",Uebersetzungen!$B$3:$E$201,Uebersetzungen!$B$2+1,FALSE)</f>
        <v>Kanton</v>
      </c>
      <c r="B16" s="32" t="str">
        <f>VLOOKUP("&lt;Zeilentitel_2.1&gt;",Uebersetzungen!$B$3:$E$201,Uebersetzungen!$B$2+1,FALSE)</f>
        <v>Zürich</v>
      </c>
      <c r="C16" s="17">
        <v>1312405.0000000079</v>
      </c>
      <c r="D16" s="20">
        <v>0.14765637313586849</v>
      </c>
      <c r="E16" s="22">
        <v>891444.82343934977</v>
      </c>
      <c r="F16" s="18">
        <v>0.72081417892578514</v>
      </c>
      <c r="G16" s="34">
        <v>67.924522036973684</v>
      </c>
      <c r="H16" s="20">
        <v>0.47092030135087271</v>
      </c>
      <c r="I16" s="19">
        <v>1053149.0000000063</v>
      </c>
      <c r="J16" s="20">
        <v>0.55475090049620279</v>
      </c>
      <c r="K16" s="22">
        <v>868666.0084785131</v>
      </c>
      <c r="L16" s="18">
        <v>0.75150819450894135</v>
      </c>
      <c r="M16" s="22">
        <v>31810.040980061916</v>
      </c>
      <c r="N16" s="20">
        <v>6.7816147617274698</v>
      </c>
      <c r="O16" s="18">
        <v>82.482726421285861</v>
      </c>
      <c r="P16" s="20">
        <v>0.44721832729631217</v>
      </c>
      <c r="Q16" s="34">
        <v>3.6619414906976608</v>
      </c>
      <c r="R16" s="38">
        <v>0.246041164219303</v>
      </c>
    </row>
    <row r="17" spans="1:18" x14ac:dyDescent="0.25">
      <c r="A17" s="81"/>
      <c r="B17" s="32" t="str">
        <f>VLOOKUP("&lt;Zeilentitel_2.2&gt;",Uebersetzungen!$B$3:$E$201,Uebersetzungen!$B$2+1,FALSE)</f>
        <v>Bern</v>
      </c>
      <c r="C17" s="17">
        <v>879250.00000002445</v>
      </c>
      <c r="D17" s="20">
        <v>0.14502279620246761</v>
      </c>
      <c r="E17" s="22">
        <v>566405.79871133587</v>
      </c>
      <c r="F17" s="18">
        <v>0.92969125687491161</v>
      </c>
      <c r="G17" s="34">
        <v>64.419198033701463</v>
      </c>
      <c r="H17" s="20">
        <v>0.57885063825150951</v>
      </c>
      <c r="I17" s="19">
        <v>661226.00000001094</v>
      </c>
      <c r="J17" s="20">
        <v>0.74739480739916586</v>
      </c>
      <c r="K17" s="22">
        <v>549848.83061439998</v>
      </c>
      <c r="L17" s="18">
        <v>0.97069291944010538</v>
      </c>
      <c r="M17" s="22">
        <v>15503.477802943247</v>
      </c>
      <c r="N17" s="20">
        <v>9.6355127134474117</v>
      </c>
      <c r="O17" s="18">
        <v>83.155960384859469</v>
      </c>
      <c r="P17" s="20">
        <v>0.54229029282426211</v>
      </c>
      <c r="Q17" s="34">
        <v>2.8195891197258129</v>
      </c>
      <c r="R17" s="38">
        <v>0.26955829575782086</v>
      </c>
    </row>
    <row r="18" spans="1:18" x14ac:dyDescent="0.25">
      <c r="A18" s="81"/>
      <c r="B18" s="32" t="str">
        <f>VLOOKUP("&lt;Zeilentitel_2.3&gt;",Uebersetzungen!$B$3:$E$201,Uebersetzungen!$B$2+1,FALSE)</f>
        <v>Luzern</v>
      </c>
      <c r="C18" s="17">
        <v>352202.99999999948</v>
      </c>
      <c r="D18" s="20">
        <v>0.17401157788369748</v>
      </c>
      <c r="E18" s="22">
        <v>237041.65694559101</v>
      </c>
      <c r="F18" s="18">
        <v>0.97126994080680362</v>
      </c>
      <c r="G18" s="34">
        <v>67.302566118287288</v>
      </c>
      <c r="H18" s="20">
        <v>0.62171870488714376</v>
      </c>
      <c r="I18" s="19">
        <v>277960.00000000047</v>
      </c>
      <c r="J18" s="20">
        <v>0.75620139809455877</v>
      </c>
      <c r="K18" s="22">
        <v>231462.82935592669</v>
      </c>
      <c r="L18" s="18">
        <v>1.0089448431139352</v>
      </c>
      <c r="M18" s="22">
        <v>6536.8920553020007</v>
      </c>
      <c r="N18" s="20">
        <v>10.293990773212611</v>
      </c>
      <c r="O18" s="18">
        <v>83.271992141288791</v>
      </c>
      <c r="P18" s="20">
        <v>0.5784474726051485</v>
      </c>
      <c r="Q18" s="34">
        <v>2.8241649311432346</v>
      </c>
      <c r="R18" s="38">
        <v>0.28858381671279787</v>
      </c>
    </row>
    <row r="19" spans="1:18" x14ac:dyDescent="0.25">
      <c r="A19" s="81"/>
      <c r="B19" s="32" t="str">
        <f>VLOOKUP("&lt;Zeilentitel_2.4&gt;",Uebersetzungen!$B$3:$E$201,Uebersetzungen!$B$2+1,FALSE)</f>
        <v>Uri</v>
      </c>
      <c r="C19" s="17">
        <v>31074.999999999898</v>
      </c>
      <c r="D19" s="20">
        <v>0.66752093390522338</v>
      </c>
      <c r="E19" s="22">
        <v>19384.785582808159</v>
      </c>
      <c r="F19" s="18">
        <v>5.0208714634579632</v>
      </c>
      <c r="G19" s="34">
        <v>62.380645479672481</v>
      </c>
      <c r="H19" s="20">
        <v>3.0243705505534848</v>
      </c>
      <c r="I19" s="19">
        <v>23230.316380757158</v>
      </c>
      <c r="J19" s="20">
        <v>3.8584461117996147</v>
      </c>
      <c r="K19" s="22">
        <v>18939.155780974197</v>
      </c>
      <c r="L19" s="18">
        <v>5.1852701805409547</v>
      </c>
      <c r="M19" s="23">
        <v>227.44391840286818</v>
      </c>
      <c r="N19" s="21">
        <v>73.320158086988911</v>
      </c>
      <c r="O19" s="18">
        <v>81.527756533968059</v>
      </c>
      <c r="P19" s="20">
        <v>2.8618516186000704</v>
      </c>
      <c r="Q19" s="23">
        <v>1.2009189904407074</v>
      </c>
      <c r="R19" s="39">
        <v>0.87844322697552624</v>
      </c>
    </row>
    <row r="20" spans="1:18" x14ac:dyDescent="0.25">
      <c r="A20" s="81"/>
      <c r="B20" s="32" t="str">
        <f>VLOOKUP("&lt;Zeilentitel_2.5&gt;",Uebersetzungen!$B$3:$E$201,Uebersetzungen!$B$2+1,FALSE)</f>
        <v>Schwyz</v>
      </c>
      <c r="C20" s="17">
        <v>138672.00000000137</v>
      </c>
      <c r="D20" s="20">
        <v>0.44557971090411908</v>
      </c>
      <c r="E20" s="22">
        <v>92569.775174427341</v>
      </c>
      <c r="F20" s="18">
        <v>2.2285697666396684</v>
      </c>
      <c r="G20" s="34">
        <v>66.754481924560423</v>
      </c>
      <c r="H20" s="20">
        <v>1.4283626300836971</v>
      </c>
      <c r="I20" s="19">
        <v>108980.00000000081</v>
      </c>
      <c r="J20" s="20">
        <v>1.7276644015401146</v>
      </c>
      <c r="K20" s="22">
        <v>89911.743468553541</v>
      </c>
      <c r="L20" s="18">
        <v>2.3290104774137292</v>
      </c>
      <c r="M20" s="35">
        <v>2288.3132223382618</v>
      </c>
      <c r="N20" s="20">
        <v>24.991352249671671</v>
      </c>
      <c r="O20" s="18">
        <v>82.502976205315534</v>
      </c>
      <c r="P20" s="20">
        <v>1.3404419569962727</v>
      </c>
      <c r="Q20" s="34">
        <v>2.5450660103578082</v>
      </c>
      <c r="R20" s="38">
        <v>0.63162682795266889</v>
      </c>
    </row>
    <row r="21" spans="1:18" x14ac:dyDescent="0.25">
      <c r="A21" s="81"/>
      <c r="B21" s="32" t="str">
        <f>VLOOKUP("&lt;Zeilentitel_2.6&gt;",Uebersetzungen!$B$3:$E$201,Uebersetzungen!$B$2+1,FALSE)</f>
        <v>Obwalden</v>
      </c>
      <c r="C21" s="17">
        <v>32326.99999999992</v>
      </c>
      <c r="D21" s="20">
        <v>0.79098017845414581</v>
      </c>
      <c r="E21" s="22">
        <v>21217.146660502523</v>
      </c>
      <c r="F21" s="18">
        <v>4.513938477728372</v>
      </c>
      <c r="G21" s="34">
        <v>65.632897146356214</v>
      </c>
      <c r="H21" s="20">
        <v>2.9730063252460894</v>
      </c>
      <c r="I21" s="19">
        <v>24849.999999999876</v>
      </c>
      <c r="J21" s="20">
        <v>3.4650615914018865</v>
      </c>
      <c r="K21" s="22">
        <v>20567.16206758549</v>
      </c>
      <c r="L21" s="18">
        <v>4.7076343818080399</v>
      </c>
      <c r="M21" s="34">
        <v>292.23381780342834</v>
      </c>
      <c r="N21" s="20">
        <v>69.097158472142411</v>
      </c>
      <c r="O21" s="18">
        <v>82.765239708593924</v>
      </c>
      <c r="P21" s="20">
        <v>2.7016018234353396</v>
      </c>
      <c r="Q21" s="34">
        <v>1.4208757476754577</v>
      </c>
      <c r="R21" s="38">
        <v>0.97785128842031233</v>
      </c>
    </row>
    <row r="22" spans="1:18" x14ac:dyDescent="0.25">
      <c r="A22" s="81"/>
      <c r="B22" s="32" t="str">
        <f>VLOOKUP("&lt;Zeilentitel_2.7&gt;",Uebersetzungen!$B$3:$E$201,Uebersetzungen!$B$2+1,FALSE)</f>
        <v>Nidwalden</v>
      </c>
      <c r="C22" s="17">
        <v>37829.000000000167</v>
      </c>
      <c r="D22" s="20">
        <v>0.69384402512900911</v>
      </c>
      <c r="E22" s="22">
        <v>24679.669754512477</v>
      </c>
      <c r="F22" s="18">
        <v>4.4437568888896291</v>
      </c>
      <c r="G22" s="34">
        <v>65.240079712687006</v>
      </c>
      <c r="H22" s="20">
        <v>2.8724468278163471</v>
      </c>
      <c r="I22" s="19">
        <v>28432.00000000008</v>
      </c>
      <c r="J22" s="20">
        <v>3.5358055752589488</v>
      </c>
      <c r="K22" s="22">
        <v>24013.897807220586</v>
      </c>
      <c r="L22" s="18">
        <v>4.611401046270907</v>
      </c>
      <c r="M22" s="23">
        <v>609.84171713638545</v>
      </c>
      <c r="N22" s="21">
        <v>50.356321458060329</v>
      </c>
      <c r="O22" s="18">
        <v>84.460811083358607</v>
      </c>
      <c r="P22" s="20">
        <v>2.5320416466846325</v>
      </c>
      <c r="Q22" s="23">
        <v>2.5395365718305678</v>
      </c>
      <c r="R22" s="39">
        <v>1.2692883070650458</v>
      </c>
    </row>
    <row r="23" spans="1:18" x14ac:dyDescent="0.25">
      <c r="A23" s="81"/>
      <c r="B23" s="32" t="str">
        <f>VLOOKUP("&lt;Zeilentitel_2.8&gt;",Uebersetzungen!$B$3:$E$201,Uebersetzungen!$B$2+1,FALSE)</f>
        <v>Glarus</v>
      </c>
      <c r="C23" s="17">
        <v>34613.000000000138</v>
      </c>
      <c r="D23" s="20">
        <v>1.1043443962314186</v>
      </c>
      <c r="E23" s="22">
        <v>21811.270947214751</v>
      </c>
      <c r="F23" s="18">
        <v>5.2675701492796332</v>
      </c>
      <c r="G23" s="34">
        <v>63.014679303194356</v>
      </c>
      <c r="H23" s="20">
        <v>3.1504702391397217</v>
      </c>
      <c r="I23" s="19">
        <v>26466.7897126918</v>
      </c>
      <c r="J23" s="20">
        <v>3.9829774189149458</v>
      </c>
      <c r="K23" s="22">
        <v>21310.619201426132</v>
      </c>
      <c r="L23" s="18">
        <v>5.4382959349518512</v>
      </c>
      <c r="M23" s="23">
        <v>350.49760901429471</v>
      </c>
      <c r="N23" s="21">
        <v>68.872712530584508</v>
      </c>
      <c r="O23" s="18">
        <v>80.51833801062358</v>
      </c>
      <c r="P23" s="20">
        <v>3.0278247639047891</v>
      </c>
      <c r="Q23" s="23">
        <v>1.6447087046200837</v>
      </c>
      <c r="R23" s="39">
        <v>1.1274869475831073</v>
      </c>
    </row>
    <row r="24" spans="1:18" x14ac:dyDescent="0.25">
      <c r="A24" s="81"/>
      <c r="B24" s="32" t="str">
        <f>VLOOKUP("&lt;Zeilentitel_2.9&gt;",Uebersetzungen!$B$3:$E$201,Uebersetzungen!$B$2+1,FALSE)</f>
        <v>Zug</v>
      </c>
      <c r="C24" s="17">
        <v>108988.0000000022</v>
      </c>
      <c r="D24" s="20">
        <v>0.31786915252129555</v>
      </c>
      <c r="E24" s="22">
        <v>72728.182914605917</v>
      </c>
      <c r="F24" s="18">
        <v>1.7666760905013026</v>
      </c>
      <c r="G24" s="34">
        <v>66.730450062946787</v>
      </c>
      <c r="H24" s="20">
        <v>1.1276682297028344</v>
      </c>
      <c r="I24" s="19">
        <v>86658.000000001921</v>
      </c>
      <c r="J24" s="20">
        <v>1.329900556173619</v>
      </c>
      <c r="K24" s="22">
        <v>70220.322261756563</v>
      </c>
      <c r="L24" s="18">
        <v>1.8633642105854995</v>
      </c>
      <c r="M24" s="35">
        <v>2472.9179679805407</v>
      </c>
      <c r="N24" s="20">
        <v>16.601308745745026</v>
      </c>
      <c r="O24" s="18">
        <v>81.031551918755341</v>
      </c>
      <c r="P24" s="20">
        <v>1.0810122325803491</v>
      </c>
      <c r="Q24" s="34">
        <v>3.5216556807620125</v>
      </c>
      <c r="R24" s="38">
        <v>0.57939615489602536</v>
      </c>
    </row>
    <row r="25" spans="1:18" x14ac:dyDescent="0.25">
      <c r="A25" s="81"/>
      <c r="B25" s="32" t="str">
        <f>VLOOKUP("&lt;Zeilentitel_2.10&gt;",Uebersetzungen!$B$3:$E$201,Uebersetzungen!$B$2+1,FALSE)</f>
        <v>Freiburg</v>
      </c>
      <c r="C25" s="17">
        <v>273359.9999999986</v>
      </c>
      <c r="D25" s="20">
        <v>0.27095168172940015</v>
      </c>
      <c r="E25" s="22">
        <v>180431.00531662485</v>
      </c>
      <c r="F25" s="18">
        <v>1.6075564358950587</v>
      </c>
      <c r="G25" s="34">
        <v>66.004903905701568</v>
      </c>
      <c r="H25" s="20">
        <v>1.0270430220427471</v>
      </c>
      <c r="I25" s="19">
        <v>220844.99999999907</v>
      </c>
      <c r="J25" s="20">
        <v>1.1481527026118763</v>
      </c>
      <c r="K25" s="22">
        <v>177328.57986015917</v>
      </c>
      <c r="L25" s="18">
        <v>1.6510453355099013</v>
      </c>
      <c r="M25" s="35">
        <v>8025.7157276278676</v>
      </c>
      <c r="N25" s="20">
        <v>13.289365287228831</v>
      </c>
      <c r="O25" s="18">
        <v>80.295492250293151</v>
      </c>
      <c r="P25" s="20">
        <v>0.98566475858835645</v>
      </c>
      <c r="Q25" s="34">
        <v>4.5259008637845692</v>
      </c>
      <c r="R25" s="38">
        <v>0.59402137734839044</v>
      </c>
    </row>
    <row r="26" spans="1:18" x14ac:dyDescent="0.25">
      <c r="A26" s="81"/>
      <c r="B26" s="32" t="str">
        <f>VLOOKUP("&lt;Zeilentitel_2.11&gt;",Uebersetzungen!$B$3:$E$201,Uebersetzungen!$B$2+1,FALSE)</f>
        <v>Solothurn</v>
      </c>
      <c r="C26" s="17">
        <v>237079.99999999985</v>
      </c>
      <c r="D26" s="20">
        <v>0.33945140530500761</v>
      </c>
      <c r="E26" s="22">
        <v>148330.9953544882</v>
      </c>
      <c r="F26" s="18">
        <v>1.917820408939692</v>
      </c>
      <c r="G26" s="34">
        <v>62.565798614175925</v>
      </c>
      <c r="H26" s="20">
        <v>1.1564828783617074</v>
      </c>
      <c r="I26" s="19">
        <v>181237.99999999991</v>
      </c>
      <c r="J26" s="20">
        <v>1.4438432010181925</v>
      </c>
      <c r="K26" s="22">
        <v>144696.45211845255</v>
      </c>
      <c r="L26" s="18">
        <v>1.9863752653893978</v>
      </c>
      <c r="M26" s="35">
        <v>4500.5206211960667</v>
      </c>
      <c r="N26" s="20">
        <v>18.315408147349533</v>
      </c>
      <c r="O26" s="18">
        <v>79.837811120434239</v>
      </c>
      <c r="P26" s="20">
        <v>1.1307982158298415</v>
      </c>
      <c r="Q26" s="34">
        <v>3.1103185705699383</v>
      </c>
      <c r="R26" s="38">
        <v>0.56456349992896637</v>
      </c>
    </row>
    <row r="27" spans="1:18" x14ac:dyDescent="0.25">
      <c r="A27" s="81"/>
      <c r="B27" s="32" t="str">
        <f>VLOOKUP("&lt;Zeilentitel_2.12&gt;",Uebersetzungen!$B$3:$E$201,Uebersetzungen!$B$2+1,FALSE)</f>
        <v>Basel-Stadt</v>
      </c>
      <c r="C27" s="17">
        <v>165064.00000000349</v>
      </c>
      <c r="D27" s="20">
        <v>0.48022799214657669</v>
      </c>
      <c r="E27" s="22">
        <v>101925.98833943365</v>
      </c>
      <c r="F27" s="18">
        <v>2.3673476506867326</v>
      </c>
      <c r="G27" s="34">
        <v>61.749374993597328</v>
      </c>
      <c r="H27" s="20">
        <v>1.4230625599514468</v>
      </c>
      <c r="I27" s="19">
        <v>128737.00000000266</v>
      </c>
      <c r="J27" s="20">
        <v>1.7303430581037373</v>
      </c>
      <c r="K27" s="22">
        <v>98782.801467404701</v>
      </c>
      <c r="L27" s="18">
        <v>2.475028030173918</v>
      </c>
      <c r="M27" s="35">
        <v>4794.9078271359722</v>
      </c>
      <c r="N27" s="20">
        <v>18.216256279218115</v>
      </c>
      <c r="O27" s="18">
        <v>76.732253716804536</v>
      </c>
      <c r="P27" s="20">
        <v>1.4594499604209261</v>
      </c>
      <c r="Q27" s="34">
        <v>4.853990528622683</v>
      </c>
      <c r="R27" s="38">
        <v>0.87084775049331942</v>
      </c>
    </row>
    <row r="28" spans="1:18" x14ac:dyDescent="0.25">
      <c r="A28" s="81"/>
      <c r="B28" s="32" t="str">
        <f>VLOOKUP("&lt;Zeilentitel_2.13&gt;",Uebersetzungen!$B$3:$E$201,Uebersetzungen!$B$2+1,FALSE)</f>
        <v>Basel-Landschaft</v>
      </c>
      <c r="C28" s="17">
        <v>247484.99999999552</v>
      </c>
      <c r="D28" s="20">
        <v>0.30876322003813095</v>
      </c>
      <c r="E28" s="22">
        <v>148621.65243571461</v>
      </c>
      <c r="F28" s="18">
        <v>1.9345418674151136</v>
      </c>
      <c r="G28" s="34">
        <v>60.052792062435024</v>
      </c>
      <c r="H28" s="20">
        <v>1.1173862081243797</v>
      </c>
      <c r="I28" s="19">
        <v>183152.99999999686</v>
      </c>
      <c r="J28" s="20">
        <v>1.4750285385235387</v>
      </c>
      <c r="K28" s="22">
        <v>144136.63196940633</v>
      </c>
      <c r="L28" s="18">
        <v>2.0145206542543672</v>
      </c>
      <c r="M28" s="35">
        <v>6105.5948860751678</v>
      </c>
      <c r="N28" s="20">
        <v>15.500606393675509</v>
      </c>
      <c r="O28" s="18">
        <v>78.697390689428403</v>
      </c>
      <c r="P28" s="20">
        <v>1.1248796798805074</v>
      </c>
      <c r="Q28" s="34">
        <v>4.2359772131841504</v>
      </c>
      <c r="R28" s="38">
        <v>0.64776730488075351</v>
      </c>
    </row>
    <row r="29" spans="1:18" x14ac:dyDescent="0.25">
      <c r="A29" s="81"/>
      <c r="B29" s="32" t="str">
        <f>VLOOKUP("&lt;Zeilentitel_2.14&gt;",Uebersetzungen!$B$3:$E$201,Uebersetzungen!$B$2+1,FALSE)</f>
        <v>Schaffhausen</v>
      </c>
      <c r="C29" s="17">
        <v>71534.999999999622</v>
      </c>
      <c r="D29" s="20">
        <v>0.68399138623847733</v>
      </c>
      <c r="E29" s="22">
        <v>43585.376888788713</v>
      </c>
      <c r="F29" s="18">
        <v>3.6729880892694964</v>
      </c>
      <c r="G29" s="34">
        <v>60.928743816018653</v>
      </c>
      <c r="H29" s="20">
        <v>2.1096935827676333</v>
      </c>
      <c r="I29" s="19">
        <v>53935.999999999571</v>
      </c>
      <c r="J29" s="20">
        <v>2.7783159828093282</v>
      </c>
      <c r="K29" s="22">
        <v>42491.120463635292</v>
      </c>
      <c r="L29" s="18">
        <v>3.8004901998314606</v>
      </c>
      <c r="M29" s="35">
        <v>1666.1992710293823</v>
      </c>
      <c r="N29" s="20">
        <v>30.280556804804363</v>
      </c>
      <c r="O29" s="18">
        <v>78.780629753106695</v>
      </c>
      <c r="P29" s="20">
        <v>2.1232432630308864</v>
      </c>
      <c r="Q29" s="34">
        <v>3.9212881487918079</v>
      </c>
      <c r="R29" s="38">
        <v>1.1731335050353664</v>
      </c>
    </row>
    <row r="30" spans="1:18" x14ac:dyDescent="0.25">
      <c r="A30" s="81"/>
      <c r="B30" s="32" t="str">
        <f>VLOOKUP("&lt;Zeilentitel_2.15&gt;",Uebersetzungen!$B$3:$E$201,Uebersetzungen!$B$2+1,FALSE)</f>
        <v>Appenzell Ausserrhoden</v>
      </c>
      <c r="C30" s="17">
        <v>46087.999999999323</v>
      </c>
      <c r="D30" s="20">
        <v>0.71462856760748494</v>
      </c>
      <c r="E30" s="22">
        <v>30263.581038378277</v>
      </c>
      <c r="F30" s="18">
        <v>4.181825056614672</v>
      </c>
      <c r="G30" s="34">
        <v>65.664773994052069</v>
      </c>
      <c r="H30" s="20">
        <v>2.5489608195989888</v>
      </c>
      <c r="I30" s="19">
        <v>35125.999999999498</v>
      </c>
      <c r="J30" s="20">
        <v>3.4120753450582746</v>
      </c>
      <c r="K30" s="22">
        <v>28991.791877148338</v>
      </c>
      <c r="L30" s="18">
        <v>4.4669808140193936</v>
      </c>
      <c r="M30" s="23">
        <v>927.13338507360902</v>
      </c>
      <c r="N30" s="21">
        <v>40.469268127223891</v>
      </c>
      <c r="O30" s="18">
        <v>82.536559463499273</v>
      </c>
      <c r="P30" s="20">
        <v>2.4551550743160817</v>
      </c>
      <c r="Q30" s="23">
        <v>3.197916806944197</v>
      </c>
      <c r="R30" s="39">
        <v>1.2829410522845084</v>
      </c>
    </row>
    <row r="31" spans="1:18" x14ac:dyDescent="0.25">
      <c r="A31" s="81"/>
      <c r="B31" s="32" t="str">
        <f>VLOOKUP("&lt;Zeilentitel_2.16&gt;",Uebersetzungen!$B$3:$E$201,Uebersetzungen!$B$2+1,FALSE)</f>
        <v>Appenzell Innerrhoden</v>
      </c>
      <c r="C31" s="17">
        <v>13537.999999999989</v>
      </c>
      <c r="D31" s="20">
        <v>1.7050358244601411</v>
      </c>
      <c r="E31" s="22">
        <v>8856.0871313696207</v>
      </c>
      <c r="F31" s="18">
        <v>7.8541344842184539</v>
      </c>
      <c r="G31" s="34">
        <v>65.416510055913932</v>
      </c>
      <c r="H31" s="20">
        <v>4.7692872243528797</v>
      </c>
      <c r="I31" s="19">
        <v>10494.893906551009</v>
      </c>
      <c r="J31" s="20">
        <v>6.0621698287612293</v>
      </c>
      <c r="K31" s="22">
        <v>8430.5504480546806</v>
      </c>
      <c r="L31" s="18">
        <v>8.4297583947964565</v>
      </c>
      <c r="M31" s="34" t="s">
        <v>206</v>
      </c>
      <c r="N31" s="20" t="s">
        <v>206</v>
      </c>
      <c r="O31" s="18">
        <v>80.330020704566181</v>
      </c>
      <c r="P31" s="20">
        <v>4.6174695414550229</v>
      </c>
      <c r="Q31" s="34" t="s">
        <v>206</v>
      </c>
      <c r="R31" s="38" t="s">
        <v>206</v>
      </c>
    </row>
    <row r="32" spans="1:18" x14ac:dyDescent="0.25">
      <c r="A32" s="81"/>
      <c r="B32" s="32" t="str">
        <f>VLOOKUP("&lt;Zeilentitel_2.17&gt;",Uebersetzungen!$B$3:$E$201,Uebersetzungen!$B$2+1,FALSE)</f>
        <v>St. Gallen</v>
      </c>
      <c r="C32" s="17">
        <v>436947.99999999546</v>
      </c>
      <c r="D32" s="20">
        <v>0.24636486103235691</v>
      </c>
      <c r="E32" s="22">
        <v>283807.63743651926</v>
      </c>
      <c r="F32" s="18">
        <v>1.3472393912110976</v>
      </c>
      <c r="G32" s="34">
        <v>64.952268333193473</v>
      </c>
      <c r="H32" s="20">
        <v>0.83471775597490705</v>
      </c>
      <c r="I32" s="19">
        <v>341938.9999999975</v>
      </c>
      <c r="J32" s="20">
        <v>1.0167053770827472</v>
      </c>
      <c r="K32" s="22">
        <v>276635.04365090153</v>
      </c>
      <c r="L32" s="18">
        <v>1.3994258445750412</v>
      </c>
      <c r="M32" s="22">
        <v>9223.7355381502584</v>
      </c>
      <c r="N32" s="20">
        <v>12.732207860375681</v>
      </c>
      <c r="O32" s="18">
        <v>80.901869529624747</v>
      </c>
      <c r="P32" s="20">
        <v>0.80332940852147772</v>
      </c>
      <c r="Q32" s="34">
        <v>3.3342614212645159</v>
      </c>
      <c r="R32" s="38">
        <v>0.42062211656133508</v>
      </c>
    </row>
    <row r="33" spans="1:18" x14ac:dyDescent="0.25">
      <c r="A33" s="81"/>
      <c r="B33" s="33" t="str">
        <f>VLOOKUP("&lt;Zeilentitel_2.18&gt;",Uebersetzungen!$B$3:$E$201,Uebersetzungen!$B$2+1,FALSE)</f>
        <v>Graubünden</v>
      </c>
      <c r="C33" s="27">
        <v>172987.00000000114</v>
      </c>
      <c r="D33" s="28">
        <v>0.30992133630712848</v>
      </c>
      <c r="E33" s="29">
        <v>109790.18756849749</v>
      </c>
      <c r="F33" s="30">
        <v>2.1802218470485171</v>
      </c>
      <c r="G33" s="36">
        <v>63.467305386241037</v>
      </c>
      <c r="H33" s="28">
        <v>1.326572397919378</v>
      </c>
      <c r="I33" s="31">
        <v>128835.00000000076</v>
      </c>
      <c r="J33" s="28">
        <v>1.7326732393391195</v>
      </c>
      <c r="K33" s="29">
        <v>106253.15547822096</v>
      </c>
      <c r="L33" s="30">
        <v>2.2821266023879119</v>
      </c>
      <c r="M33" s="29">
        <v>2273.582534576155</v>
      </c>
      <c r="N33" s="28">
        <v>25.546793337573479</v>
      </c>
      <c r="O33" s="30">
        <v>82.472274986005615</v>
      </c>
      <c r="P33" s="28">
        <v>1.2464038865867053</v>
      </c>
      <c r="Q33" s="36">
        <v>2.1397788370079778</v>
      </c>
      <c r="R33" s="40">
        <v>0.54334865273864974</v>
      </c>
    </row>
    <row r="34" spans="1:18" x14ac:dyDescent="0.25">
      <c r="A34" s="81"/>
      <c r="B34" s="32" t="str">
        <f>VLOOKUP("&lt;Zeilentitel_2.19&gt;",Uebersetzungen!$B$3:$E$201,Uebersetzungen!$B$2+1,FALSE)</f>
        <v>Aargau</v>
      </c>
      <c r="C34" s="17">
        <v>592754.0000000163</v>
      </c>
      <c r="D34" s="20">
        <v>0.14774617140954088</v>
      </c>
      <c r="E34" s="22">
        <v>387510.6761918937</v>
      </c>
      <c r="F34" s="18">
        <v>0.79458193966091195</v>
      </c>
      <c r="G34" s="34">
        <v>65.374620195204585</v>
      </c>
      <c r="H34" s="20">
        <v>0.49912662793116169</v>
      </c>
      <c r="I34" s="19">
        <v>464880.00000001269</v>
      </c>
      <c r="J34" s="20">
        <v>0.60066962391160128</v>
      </c>
      <c r="K34" s="22">
        <v>377668.43755896913</v>
      </c>
      <c r="L34" s="18">
        <v>0.8258718134201577</v>
      </c>
      <c r="M34" s="22">
        <v>13233.756426829816</v>
      </c>
      <c r="N34" s="20">
        <v>7.459820363739798</v>
      </c>
      <c r="O34" s="18">
        <v>81.239983987041569</v>
      </c>
      <c r="P34" s="20">
        <v>0.47636657117854497</v>
      </c>
      <c r="Q34" s="34">
        <v>3.5040673539904921</v>
      </c>
      <c r="R34" s="38">
        <v>0.25876944742553576</v>
      </c>
    </row>
    <row r="35" spans="1:18" ht="12.75" customHeight="1" x14ac:dyDescent="0.25">
      <c r="A35" s="81"/>
      <c r="B35" s="32" t="str">
        <f>VLOOKUP("&lt;Zeilentitel_2.20&gt;",Uebersetzungen!$B$3:$E$201,Uebersetzungen!$B$2+1,FALSE)</f>
        <v>Thurgau</v>
      </c>
      <c r="C35" s="17">
        <v>241240.99999999977</v>
      </c>
      <c r="D35" s="20">
        <v>0.22864373436397076</v>
      </c>
      <c r="E35" s="22">
        <v>158466.10138018132</v>
      </c>
      <c r="F35" s="18">
        <v>1.2499318539242488</v>
      </c>
      <c r="G35" s="34">
        <v>65.687881156263444</v>
      </c>
      <c r="H35" s="20">
        <v>0.77800428395329391</v>
      </c>
      <c r="I35" s="19">
        <v>188828.00000000017</v>
      </c>
      <c r="J35" s="20">
        <v>0.96039514892110756</v>
      </c>
      <c r="K35" s="22">
        <v>154066.82508432897</v>
      </c>
      <c r="L35" s="18">
        <v>1.3046757012347159</v>
      </c>
      <c r="M35" s="22">
        <v>5225.9835454991062</v>
      </c>
      <c r="N35" s="20">
        <v>11.775160831353535</v>
      </c>
      <c r="O35" s="18">
        <v>81.591090878645559</v>
      </c>
      <c r="P35" s="20">
        <v>0.74531990661736813</v>
      </c>
      <c r="Q35" s="34">
        <v>3.3920239108183412</v>
      </c>
      <c r="R35" s="38">
        <v>0.39576770931617222</v>
      </c>
    </row>
    <row r="36" spans="1:18" x14ac:dyDescent="0.25">
      <c r="A36" s="81"/>
      <c r="B36" s="32" t="str">
        <f>VLOOKUP("&lt;Zeilentitel_2.21&gt;",Uebersetzungen!$B$3:$E$201,Uebersetzungen!$B$2+1,FALSE)</f>
        <v>Ticino</v>
      </c>
      <c r="C36" s="17">
        <v>303163.00000000437</v>
      </c>
      <c r="D36" s="20">
        <v>0.17623012132816329</v>
      </c>
      <c r="E36" s="22">
        <v>166368.22407663922</v>
      </c>
      <c r="F36" s="18">
        <v>1.3446574430839828</v>
      </c>
      <c r="G36" s="34">
        <v>54.877483095442656</v>
      </c>
      <c r="H36" s="20">
        <v>0.72652357194236572</v>
      </c>
      <c r="I36" s="19">
        <v>223534.00000000175</v>
      </c>
      <c r="J36" s="20">
        <v>0.93868580160019133</v>
      </c>
      <c r="K36" s="22">
        <v>161200.45332291719</v>
      </c>
      <c r="L36" s="18">
        <v>1.3955756470036527</v>
      </c>
      <c r="M36" s="22">
        <v>11028.782597104886</v>
      </c>
      <c r="N36" s="20">
        <v>7.9543863193093163</v>
      </c>
      <c r="O36" s="18">
        <v>72.114512030794387</v>
      </c>
      <c r="P36" s="20">
        <v>0.78756504725633647</v>
      </c>
      <c r="Q36" s="34">
        <v>6.8416573091218496</v>
      </c>
      <c r="R36" s="38">
        <v>0.53207146946694373</v>
      </c>
    </row>
    <row r="37" spans="1:18" x14ac:dyDescent="0.25">
      <c r="A37" s="81"/>
      <c r="B37" s="32" t="str">
        <f>VLOOKUP("&lt;Zeilentitel_2.22&gt;",Uebersetzungen!$B$3:$E$201,Uebersetzungen!$B$2+1,FALSE)</f>
        <v>Vaud</v>
      </c>
      <c r="C37" s="17">
        <v>678300.00000000885</v>
      </c>
      <c r="D37" s="20">
        <v>0.14318553783236451</v>
      </c>
      <c r="E37" s="22">
        <v>424917.44188324618</v>
      </c>
      <c r="F37" s="18">
        <v>0.78040071254482379</v>
      </c>
      <c r="G37" s="34">
        <v>62.644470276166984</v>
      </c>
      <c r="H37" s="20">
        <v>0.47451976199967305</v>
      </c>
      <c r="I37" s="19">
        <v>545011.00000000314</v>
      </c>
      <c r="J37" s="20">
        <v>0.54069267264182175</v>
      </c>
      <c r="K37" s="22">
        <v>416330.47247191996</v>
      </c>
      <c r="L37" s="18">
        <v>0.80345790947575402</v>
      </c>
      <c r="M37" s="22">
        <v>29275.708020732534</v>
      </c>
      <c r="N37" s="20">
        <v>4.9084032764124501</v>
      </c>
      <c r="O37" s="18">
        <v>76.389370576358559</v>
      </c>
      <c r="P37" s="20">
        <v>0.48295043651067715</v>
      </c>
      <c r="Q37" s="34">
        <v>7.0318436810332354</v>
      </c>
      <c r="R37" s="38">
        <v>0.33813343463360734</v>
      </c>
    </row>
    <row r="38" spans="1:18" x14ac:dyDescent="0.25">
      <c r="A38" s="81"/>
      <c r="B38" s="32" t="str">
        <f>VLOOKUP("&lt;Zeilentitel_2.23&gt;",Uebersetzungen!$B$3:$E$201,Uebersetzungen!$B$2+1,FALSE)</f>
        <v>Wallis</v>
      </c>
      <c r="C38" s="17">
        <v>299210.0000000007</v>
      </c>
      <c r="D38" s="20">
        <v>0.29170246422487994</v>
      </c>
      <c r="E38" s="22">
        <v>181960.40664504227</v>
      </c>
      <c r="F38" s="18">
        <v>1.7589366632601513</v>
      </c>
      <c r="G38" s="34">
        <v>60.813611391678698</v>
      </c>
      <c r="H38" s="20">
        <v>1.0220119450020135</v>
      </c>
      <c r="I38" s="19">
        <v>229147.00000000061</v>
      </c>
      <c r="J38" s="20">
        <v>1.2658815685283262</v>
      </c>
      <c r="K38" s="22">
        <v>177842.5443598633</v>
      </c>
      <c r="L38" s="18">
        <v>1.8129257929557625</v>
      </c>
      <c r="M38" s="22">
        <v>7208.9490408985666</v>
      </c>
      <c r="N38" s="20">
        <v>14.260972819934498</v>
      </c>
      <c r="O38" s="18">
        <v>77.610679764458112</v>
      </c>
      <c r="P38" s="20">
        <v>1.0222408000082908</v>
      </c>
      <c r="Q38" s="34">
        <v>4.0535570759217832</v>
      </c>
      <c r="R38" s="38">
        <v>0.5711335720997246</v>
      </c>
    </row>
    <row r="39" spans="1:18" x14ac:dyDescent="0.25">
      <c r="A39" s="81"/>
      <c r="B39" s="32" t="str">
        <f>VLOOKUP("&lt;Zeilentitel_2.24&gt;",Uebersetzungen!$B$3:$E$201,Uebersetzungen!$B$2+1,FALSE)</f>
        <v>Neuchâtel</v>
      </c>
      <c r="C39" s="17">
        <v>147269.99999999857</v>
      </c>
      <c r="D39" s="20">
        <v>0.30607967779639178</v>
      </c>
      <c r="E39" s="22">
        <v>91198.085362621161</v>
      </c>
      <c r="F39" s="18">
        <v>1.7128497616547425</v>
      </c>
      <c r="G39" s="34">
        <v>61.92577263707615</v>
      </c>
      <c r="H39" s="20">
        <v>1.0077926156246235</v>
      </c>
      <c r="I39" s="19">
        <v>114210.9999999984</v>
      </c>
      <c r="J39" s="20">
        <v>1.2358228951679862</v>
      </c>
      <c r="K39" s="22">
        <v>89423.551942011312</v>
      </c>
      <c r="L39" s="18">
        <v>1.7603814000633931</v>
      </c>
      <c r="M39" s="22">
        <v>5463.1976504801241</v>
      </c>
      <c r="N39" s="20">
        <v>11.211923949102244</v>
      </c>
      <c r="O39" s="18">
        <v>78.296794478651407</v>
      </c>
      <c r="P39" s="20">
        <v>0.9992105301740537</v>
      </c>
      <c r="Q39" s="34">
        <v>6.1093498657074887</v>
      </c>
      <c r="R39" s="38">
        <v>0.6733383755914959</v>
      </c>
    </row>
    <row r="40" spans="1:18" x14ac:dyDescent="0.25">
      <c r="A40" s="81"/>
      <c r="B40" s="32" t="str">
        <f>VLOOKUP("&lt;Zeilentitel_2.25&gt;",Uebersetzungen!$B$3:$E$201,Uebersetzungen!$B$2+1,FALSE)</f>
        <v>Genève</v>
      </c>
      <c r="C40" s="17">
        <v>392799.99999999633</v>
      </c>
      <c r="D40" s="20">
        <v>0.23111712258110059</v>
      </c>
      <c r="E40" s="22">
        <v>236825.1643980167</v>
      </c>
      <c r="F40" s="18">
        <v>1.1385005299786148</v>
      </c>
      <c r="G40" s="34">
        <v>60.291538797866316</v>
      </c>
      <c r="H40" s="20">
        <v>0.65367129073705854</v>
      </c>
      <c r="I40" s="19">
        <v>314497.99999999901</v>
      </c>
      <c r="J40" s="20">
        <v>0.76925134852899246</v>
      </c>
      <c r="K40" s="22">
        <v>231238.62120944139</v>
      </c>
      <c r="L40" s="18">
        <v>1.1763045366358778</v>
      </c>
      <c r="M40" s="22">
        <v>24808.356692623005</v>
      </c>
      <c r="N40" s="20">
        <v>5.5336105620629299</v>
      </c>
      <c r="O40" s="18">
        <v>73.526261282883226</v>
      </c>
      <c r="P40" s="20">
        <v>0.68423532742397697</v>
      </c>
      <c r="Q40" s="34">
        <v>10.728465929639478</v>
      </c>
      <c r="R40" s="38">
        <v>0.5734966302986777</v>
      </c>
    </row>
    <row r="41" spans="1:18" ht="13" thickBot="1" x14ac:dyDescent="0.3">
      <c r="A41" s="82"/>
      <c r="B41" s="41" t="str">
        <f>VLOOKUP("&lt;Zeilentitel_2.26&gt;",Uebersetzungen!$B$3:$E$201,Uebersetzungen!$B$2+1,FALSE)</f>
        <v>Jura</v>
      </c>
      <c r="C41" s="42">
        <v>61633.999999999607</v>
      </c>
      <c r="D41" s="43">
        <v>0.65787418006012111</v>
      </c>
      <c r="E41" s="44">
        <v>36488.679622053838</v>
      </c>
      <c r="F41" s="45">
        <v>3.9361307560817722</v>
      </c>
      <c r="G41" s="46">
        <v>59.202192981234504</v>
      </c>
      <c r="H41" s="43">
        <v>2.2838640209557823</v>
      </c>
      <c r="I41" s="47">
        <v>46013.99999999968</v>
      </c>
      <c r="J41" s="43">
        <v>2.8853730167362182</v>
      </c>
      <c r="K41" s="44">
        <v>35749.35357557534</v>
      </c>
      <c r="L41" s="45">
        <v>4.0372202307522391</v>
      </c>
      <c r="M41" s="44">
        <v>2362.4633097687383</v>
      </c>
      <c r="N41" s="43">
        <v>24.565656711750279</v>
      </c>
      <c r="O41" s="45">
        <v>77.692340538913356</v>
      </c>
      <c r="P41" s="43">
        <v>2.2992134937223057</v>
      </c>
      <c r="Q41" s="46">
        <v>6.6084084703081718</v>
      </c>
      <c r="R41" s="48">
        <v>1.5909866597727138</v>
      </c>
    </row>
    <row r="42" spans="1:18" ht="13" x14ac:dyDescent="0.25">
      <c r="A42" s="16"/>
      <c r="B42" s="10"/>
      <c r="C42" s="9"/>
      <c r="D42" s="11"/>
      <c r="E42" s="12"/>
      <c r="F42" s="13"/>
      <c r="G42" s="14"/>
      <c r="H42" s="13"/>
      <c r="I42" s="14"/>
      <c r="J42" s="13"/>
      <c r="K42" s="14"/>
      <c r="L42" s="14"/>
      <c r="M42" s="13"/>
      <c r="N42" s="14"/>
    </row>
    <row r="43" spans="1:18" x14ac:dyDescent="0.25">
      <c r="A43" s="15" t="str">
        <f>VLOOKUP("&lt;Legende_1&gt;",Uebersetzungen!$B$3:$E$201,Uebersetzungen!$B$2+1,FALSE)</f>
        <v>Definitionen:</v>
      </c>
    </row>
    <row r="44" spans="1:18" x14ac:dyDescent="0.25">
      <c r="A44" s="15" t="str">
        <f>VLOOKUP("&lt;Legende_2&gt;",Uebersetzungen!$B$3:$E$201,Uebersetzungen!$B$2+1,FALSE)</f>
        <v>Erwerbsquote = Erwerbspersonen / Referenzbevölkerung x 100</v>
      </c>
    </row>
    <row r="45" spans="1:18" x14ac:dyDescent="0.25">
      <c r="A45" s="15" t="str">
        <f>VLOOKUP("&lt;Legende_3&gt;",Uebersetzungen!$B$3:$E$201,Uebersetzungen!$B$2+1,FALSE)</f>
        <v>Standardisierte Erwerbsquote (gemessen an der Bevölkerung ab 15 Jahren)</v>
      </c>
    </row>
    <row r="46" spans="1:18" x14ac:dyDescent="0.25">
      <c r="A46" s="15" t="str">
        <f>VLOOKUP("&lt;Legende_4&gt;",Uebersetzungen!$B$3:$E$201,Uebersetzungen!$B$2+1,FALSE)</f>
        <v>Nettoerwerbsquote (gemessen an der Bevölkerung zwischen 15 und 64 Jahren)</v>
      </c>
    </row>
    <row r="47" spans="1:18" x14ac:dyDescent="0.25">
      <c r="A47" s="15" t="str">
        <f>VLOOKUP("&lt;Legende_5&gt;",Uebersetzungen!$B$3:$E$201,Uebersetzungen!$B$2+1,FALSE)</f>
        <v>Erwerbslosenquote = Erwerbslose / Erwerbspersonen x 100</v>
      </c>
    </row>
    <row r="48" spans="1:18" x14ac:dyDescent="0.25">
      <c r="A48" s="15" t="str">
        <f>VLOOKUP("&lt;Legende_6&gt;",Uebersetzungen!$B$3:$E$201,Uebersetzungen!$B$2+1,FALSE)</f>
        <v>(): Extrapolation aufgrund von 49 oder weniger Beobachtungen. Die Resultate sind mit grosser Vorsicht zu interpretieren.</v>
      </c>
    </row>
    <row r="49" spans="1:1" x14ac:dyDescent="0.25">
      <c r="A49" s="15" t="str">
        <f>VLOOKUP("&lt;Legende_7&gt;",Uebersetzungen!$B$3:$E$201,Uebersetzungen!$B$2+1,FALSE)</f>
        <v>X: Extrapolation aufgrund von 4 oder weniger Beobachtungen. Die Resultate werden aus Gründen des Datenschutzes nicht publiziert.</v>
      </c>
    </row>
    <row r="50" spans="1:1" x14ac:dyDescent="0.25">
      <c r="A50" s="15" t="str">
        <f>VLOOKUP("&lt;Legende_8&gt;",Uebersetzungen!$B$3:$E$201,Uebersetzungen!$B$2+1,FALSE)</f>
        <v>Die Grundgesamtheit der Strukturerhebung enthält alle Personen der ständigen Wohnbevölkerung ab vollendetem 15. Altersjahr, die in Privathaushalten leben.</v>
      </c>
    </row>
    <row r="51" spans="1:1" x14ac:dyDescent="0.25">
      <c r="A51" s="15" t="str">
        <f>VLOOKUP("&lt;Legende_9&gt;",Uebersetzungen!$B$3:$E$201,Uebersetzungen!$B$2+1,FALSE)</f>
        <v>Aus der Grundgesamtheit ausgeschlossen wurden neben den Personen, die in Kollektivhaushalten leben, auch Diplomaten, internationale Funktionäre und deren Angehörige.</v>
      </c>
    </row>
    <row r="53" spans="1:1" x14ac:dyDescent="0.25">
      <c r="A53" s="1" t="str">
        <f>VLOOKUP("&lt;quelle_1&gt;",Uebersetzungen!$B$3:$E$201,Uebersetzungen!$B$2+1,FALSE)</f>
        <v>Quelle: BFS (Strukturerhebung)</v>
      </c>
    </row>
    <row r="54" spans="1:1" x14ac:dyDescent="0.25">
      <c r="A54" s="1" t="str">
        <f>VLOOKUP("&lt;aktualisierung&gt;",Uebersetzungen!$B$3:$E$201,Uebersetzungen!$B$2+1,FALSE)</f>
        <v>Letztmals aktualisiert am: 26.01.2024</v>
      </c>
    </row>
  </sheetData>
  <sheetProtection sheet="1" objects="1" scenarios="1"/>
  <mergeCells count="12">
    <mergeCell ref="C12:R12"/>
    <mergeCell ref="A16:A41"/>
    <mergeCell ref="A15:B15"/>
    <mergeCell ref="Q13:R13"/>
    <mergeCell ref="A7:B7"/>
    <mergeCell ref="K13:L13"/>
    <mergeCell ref="M13:N13"/>
    <mergeCell ref="O13:P13"/>
    <mergeCell ref="C13:D13"/>
    <mergeCell ref="E13:F13"/>
    <mergeCell ref="G13:H13"/>
    <mergeCell ref="I13:J13"/>
  </mergeCells>
  <pageMargins left="0.7" right="0.7" top="0.78740157499999996" bottom="0.78740157499999996" header="0.3" footer="0.3"/>
  <pageSetup paperSize="9" orientation="portrait" r:id="rId1"/>
  <ignoredErrors>
    <ignoredError sqref="D14:F14 H14:I14 J14:K14 L14:N14 P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431800</xdr:colOff>
                    <xdr:row>1</xdr:row>
                    <xdr:rowOff>120650</xdr:rowOff>
                  </from>
                  <to>
                    <xdr:col>4</xdr:col>
                    <xdr:colOff>749300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431800</xdr:colOff>
                    <xdr:row>2</xdr:row>
                    <xdr:rowOff>107950</xdr:rowOff>
                  </from>
                  <to>
                    <xdr:col>5</xdr:col>
                    <xdr:colOff>304800</xdr:colOff>
                    <xdr:row>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431800</xdr:colOff>
                    <xdr:row>3</xdr:row>
                    <xdr:rowOff>76200</xdr:rowOff>
                  </from>
                  <to>
                    <xdr:col>4</xdr:col>
                    <xdr:colOff>749300</xdr:colOff>
                    <xdr:row>4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40" sqref="B40"/>
    </sheetView>
  </sheetViews>
  <sheetFormatPr baseColWidth="10" defaultColWidth="12.54296875" defaultRowHeight="12.5" x14ac:dyDescent="0.25"/>
  <cols>
    <col min="1" max="1" width="9.81640625" style="53" customWidth="1"/>
    <col min="2" max="2" width="30" style="53" customWidth="1"/>
    <col min="3" max="3" width="78.54296875" style="57" customWidth="1"/>
    <col min="4" max="5" width="53.453125" style="57" customWidth="1"/>
    <col min="6" max="6" width="22.453125" style="53" customWidth="1"/>
    <col min="7" max="8" width="12.54296875" style="53"/>
    <col min="9" max="9" width="37.7265625" style="53" customWidth="1"/>
    <col min="10" max="16384" width="12.54296875" style="53"/>
  </cols>
  <sheetData>
    <row r="1" spans="1:6" ht="13" x14ac:dyDescent="0.25">
      <c r="A1" s="50" t="s">
        <v>0</v>
      </c>
      <c r="B1" s="50" t="s">
        <v>1</v>
      </c>
      <c r="C1" s="51" t="s">
        <v>2</v>
      </c>
      <c r="D1" s="51" t="s">
        <v>3</v>
      </c>
      <c r="E1" s="51" t="s">
        <v>4</v>
      </c>
      <c r="F1" s="52"/>
    </row>
    <row r="2" spans="1:6" ht="12.75" customHeight="1" x14ac:dyDescent="0.25">
      <c r="A2" s="54" t="s">
        <v>5</v>
      </c>
      <c r="B2" s="55">
        <v>1</v>
      </c>
      <c r="C2" s="56"/>
      <c r="D2" s="56"/>
      <c r="E2" s="56"/>
      <c r="F2" s="52"/>
    </row>
    <row r="3" spans="1:6" ht="12.75" customHeight="1" x14ac:dyDescent="0.25">
      <c r="A3" s="54"/>
      <c r="B3" s="53" t="s">
        <v>6</v>
      </c>
      <c r="C3" s="57" t="s">
        <v>7</v>
      </c>
      <c r="D3" s="57" t="s">
        <v>8</v>
      </c>
      <c r="E3" s="57" t="s">
        <v>9</v>
      </c>
      <c r="F3" s="52"/>
    </row>
    <row r="4" spans="1:6" ht="12.75" customHeight="1" x14ac:dyDescent="0.25">
      <c r="A4" s="54" t="s">
        <v>10</v>
      </c>
      <c r="B4" s="53" t="s">
        <v>11</v>
      </c>
      <c r="C4" s="57" t="s">
        <v>186</v>
      </c>
      <c r="D4" s="57" t="s">
        <v>187</v>
      </c>
      <c r="E4" s="57" t="s">
        <v>188</v>
      </c>
      <c r="F4" s="52"/>
    </row>
    <row r="5" spans="1:6" ht="12.75" customHeight="1" x14ac:dyDescent="0.25">
      <c r="A5" s="54"/>
      <c r="B5" s="53" t="s">
        <v>12</v>
      </c>
      <c r="C5" s="57" t="s">
        <v>13</v>
      </c>
      <c r="D5" s="57" t="s">
        <v>14</v>
      </c>
      <c r="E5" s="57" t="s">
        <v>15</v>
      </c>
      <c r="F5" s="52"/>
    </row>
    <row r="6" spans="1:6" ht="12.75" customHeight="1" x14ac:dyDescent="0.25">
      <c r="A6" s="54" t="s">
        <v>16</v>
      </c>
      <c r="B6" s="53" t="s">
        <v>17</v>
      </c>
      <c r="C6" s="57" t="s">
        <v>18</v>
      </c>
      <c r="D6" s="57" t="s">
        <v>19</v>
      </c>
      <c r="E6" s="57" t="s">
        <v>189</v>
      </c>
      <c r="F6" s="52"/>
    </row>
    <row r="7" spans="1:6" ht="12.75" customHeight="1" x14ac:dyDescent="0.25">
      <c r="A7" s="54"/>
      <c r="B7" s="53" t="s">
        <v>21</v>
      </c>
      <c r="C7" s="57" t="s">
        <v>22</v>
      </c>
      <c r="D7" s="57" t="s">
        <v>23</v>
      </c>
      <c r="E7" s="57" t="s">
        <v>190</v>
      </c>
      <c r="F7" s="52"/>
    </row>
    <row r="8" spans="1:6" ht="12.75" customHeight="1" x14ac:dyDescent="0.25">
      <c r="A8" s="54"/>
      <c r="B8" s="53" t="s">
        <v>24</v>
      </c>
      <c r="C8" s="57" t="s">
        <v>25</v>
      </c>
      <c r="D8" s="57" t="s">
        <v>26</v>
      </c>
      <c r="E8" s="57" t="s">
        <v>191</v>
      </c>
      <c r="F8" s="52"/>
    </row>
    <row r="9" spans="1:6" ht="12.75" customHeight="1" x14ac:dyDescent="0.25">
      <c r="A9" s="54"/>
      <c r="B9" s="53" t="s">
        <v>27</v>
      </c>
      <c r="C9" s="57" t="s">
        <v>28</v>
      </c>
      <c r="D9" s="57" t="s">
        <v>29</v>
      </c>
      <c r="E9" s="57" t="s">
        <v>192</v>
      </c>
      <c r="F9" s="52"/>
    </row>
    <row r="10" spans="1:6" ht="12.75" customHeight="1" x14ac:dyDescent="0.25">
      <c r="A10" s="54"/>
      <c r="B10" s="53" t="s">
        <v>30</v>
      </c>
      <c r="C10" s="57" t="s">
        <v>31</v>
      </c>
      <c r="D10" s="57" t="s">
        <v>32</v>
      </c>
      <c r="E10" s="57" t="s">
        <v>193</v>
      </c>
      <c r="F10" s="52"/>
    </row>
    <row r="11" spans="1:6" ht="12.75" customHeight="1" x14ac:dyDescent="0.25">
      <c r="A11" s="54"/>
      <c r="B11" s="53" t="s">
        <v>33</v>
      </c>
      <c r="C11" s="57" t="s">
        <v>34</v>
      </c>
      <c r="D11" s="57" t="s">
        <v>35</v>
      </c>
      <c r="E11" s="57" t="s">
        <v>194</v>
      </c>
      <c r="F11" s="52"/>
    </row>
    <row r="12" spans="1:6" ht="12.75" customHeight="1" x14ac:dyDescent="0.25">
      <c r="A12" s="54"/>
      <c r="B12" s="53" t="s">
        <v>36</v>
      </c>
      <c r="C12" s="57" t="s">
        <v>37</v>
      </c>
      <c r="D12" s="57" t="s">
        <v>38</v>
      </c>
      <c r="E12" s="57" t="s">
        <v>195</v>
      </c>
      <c r="F12" s="52"/>
    </row>
    <row r="13" spans="1:6" ht="12.75" customHeight="1" x14ac:dyDescent="0.25">
      <c r="A13" s="54"/>
      <c r="B13" s="53" t="s">
        <v>39</v>
      </c>
      <c r="C13" s="57" t="s">
        <v>40</v>
      </c>
      <c r="D13" s="57" t="s">
        <v>41</v>
      </c>
      <c r="E13" s="57" t="s">
        <v>196</v>
      </c>
      <c r="F13" s="52"/>
    </row>
    <row r="14" spans="1:6" ht="12.75" customHeight="1" x14ac:dyDescent="0.25">
      <c r="A14" s="54"/>
      <c r="B14" s="52"/>
      <c r="C14" s="58"/>
      <c r="D14" s="58"/>
      <c r="E14" s="58"/>
      <c r="F14" s="52"/>
    </row>
    <row r="15" spans="1:6" ht="12.75" customHeight="1" x14ac:dyDescent="0.25">
      <c r="A15" s="54"/>
      <c r="B15" s="53" t="s">
        <v>42</v>
      </c>
      <c r="C15" s="57" t="s">
        <v>43</v>
      </c>
      <c r="D15" s="57" t="s">
        <v>44</v>
      </c>
      <c r="E15" s="57" t="s">
        <v>45</v>
      </c>
      <c r="F15" s="52"/>
    </row>
    <row r="16" spans="1:6" ht="12.75" customHeight="1" x14ac:dyDescent="0.25">
      <c r="A16" s="54"/>
      <c r="B16" s="53" t="s">
        <v>46</v>
      </c>
      <c r="C16" s="57" t="s">
        <v>47</v>
      </c>
      <c r="D16" s="57" t="s">
        <v>48</v>
      </c>
      <c r="E16" s="57" t="s">
        <v>49</v>
      </c>
      <c r="F16" s="52"/>
    </row>
    <row r="17" spans="1:6" ht="12.75" customHeight="1" x14ac:dyDescent="0.25">
      <c r="A17" s="54"/>
      <c r="B17" s="53" t="s">
        <v>50</v>
      </c>
      <c r="C17" s="57" t="s">
        <v>51</v>
      </c>
      <c r="D17" s="57" t="s">
        <v>52</v>
      </c>
      <c r="E17" s="57" t="s">
        <v>51</v>
      </c>
      <c r="F17" s="52"/>
    </row>
    <row r="18" spans="1:6" ht="12.75" customHeight="1" x14ac:dyDescent="0.25">
      <c r="A18" s="54"/>
      <c r="B18" s="52"/>
      <c r="C18" s="58"/>
      <c r="D18" s="58"/>
      <c r="E18" s="58"/>
      <c r="F18" s="52"/>
    </row>
    <row r="19" spans="1:6" ht="12.75" customHeight="1" x14ac:dyDescent="0.25">
      <c r="A19" s="54" t="s">
        <v>10</v>
      </c>
      <c r="B19" s="53" t="s">
        <v>53</v>
      </c>
      <c r="C19" s="57" t="s">
        <v>54</v>
      </c>
      <c r="D19" s="57" t="s">
        <v>54</v>
      </c>
      <c r="E19" s="57" t="s">
        <v>20</v>
      </c>
      <c r="F19" s="52"/>
    </row>
    <row r="20" spans="1:6" ht="12.75" customHeight="1" x14ac:dyDescent="0.25">
      <c r="A20" s="52"/>
      <c r="B20" s="53" t="s">
        <v>55</v>
      </c>
      <c r="C20" s="57" t="s">
        <v>56</v>
      </c>
      <c r="D20" s="57" t="s">
        <v>57</v>
      </c>
      <c r="E20" s="57" t="s">
        <v>58</v>
      </c>
      <c r="F20" s="52"/>
    </row>
    <row r="21" spans="1:6" ht="12.75" customHeight="1" x14ac:dyDescent="0.25">
      <c r="A21" s="54"/>
      <c r="B21" s="52"/>
      <c r="C21" s="58"/>
      <c r="D21" s="58"/>
      <c r="E21" s="58"/>
      <c r="F21" s="52"/>
    </row>
    <row r="22" spans="1:6" ht="12.75" customHeight="1" x14ac:dyDescent="0.25">
      <c r="A22" s="52"/>
      <c r="B22" s="53" t="s">
        <v>59</v>
      </c>
      <c r="C22" s="59" t="s">
        <v>60</v>
      </c>
      <c r="D22" s="49" t="s">
        <v>61</v>
      </c>
      <c r="E22" s="49" t="s">
        <v>62</v>
      </c>
      <c r="F22" s="52"/>
    </row>
    <row r="23" spans="1:6" ht="12.75" customHeight="1" x14ac:dyDescent="0.25">
      <c r="A23" s="52"/>
      <c r="B23" s="53" t="s">
        <v>63</v>
      </c>
      <c r="C23" s="59" t="s">
        <v>64</v>
      </c>
      <c r="D23" s="49" t="s">
        <v>65</v>
      </c>
      <c r="E23" s="49" t="s">
        <v>65</v>
      </c>
      <c r="F23" s="52"/>
    </row>
    <row r="24" spans="1:6" x14ac:dyDescent="0.25">
      <c r="A24" s="52"/>
      <c r="B24" s="53" t="s">
        <v>66</v>
      </c>
      <c r="C24" s="59" t="s">
        <v>67</v>
      </c>
      <c r="D24" s="49" t="s">
        <v>68</v>
      </c>
      <c r="E24" s="49" t="s">
        <v>68</v>
      </c>
      <c r="F24" s="52"/>
    </row>
    <row r="25" spans="1:6" x14ac:dyDescent="0.25">
      <c r="A25" s="52"/>
      <c r="B25" s="53" t="s">
        <v>69</v>
      </c>
      <c r="C25" s="59" t="s">
        <v>70</v>
      </c>
      <c r="D25" s="49" t="s">
        <v>70</v>
      </c>
      <c r="E25" s="49" t="s">
        <v>70</v>
      </c>
      <c r="F25" s="52"/>
    </row>
    <row r="26" spans="1:6" x14ac:dyDescent="0.25">
      <c r="A26" s="52"/>
      <c r="B26" s="53" t="s">
        <v>71</v>
      </c>
      <c r="C26" s="59" t="s">
        <v>72</v>
      </c>
      <c r="D26" s="49" t="s">
        <v>73</v>
      </c>
      <c r="E26" s="49" t="s">
        <v>74</v>
      </c>
      <c r="F26" s="52"/>
    </row>
    <row r="27" spans="1:6" x14ac:dyDescent="0.25">
      <c r="A27" s="52"/>
      <c r="B27" s="53" t="s">
        <v>75</v>
      </c>
      <c r="C27" s="59" t="s">
        <v>76</v>
      </c>
      <c r="D27" s="49" t="s">
        <v>77</v>
      </c>
      <c r="E27" s="49" t="s">
        <v>78</v>
      </c>
      <c r="F27" s="52"/>
    </row>
    <row r="28" spans="1:6" x14ac:dyDescent="0.25">
      <c r="A28" s="52"/>
      <c r="B28" s="53" t="s">
        <v>79</v>
      </c>
      <c r="C28" s="59" t="s">
        <v>80</v>
      </c>
      <c r="D28" s="49" t="s">
        <v>81</v>
      </c>
      <c r="E28" s="49" t="s">
        <v>82</v>
      </c>
      <c r="F28" s="52"/>
    </row>
    <row r="29" spans="1:6" x14ac:dyDescent="0.25">
      <c r="A29" s="52"/>
      <c r="B29" s="53" t="s">
        <v>83</v>
      </c>
      <c r="C29" s="59" t="s">
        <v>84</v>
      </c>
      <c r="D29" s="49" t="s">
        <v>85</v>
      </c>
      <c r="E29" s="49" t="s">
        <v>86</v>
      </c>
      <c r="F29" s="52"/>
    </row>
    <row r="30" spans="1:6" x14ac:dyDescent="0.25">
      <c r="A30" s="52"/>
      <c r="B30" s="53" t="s">
        <v>87</v>
      </c>
      <c r="C30" s="59" t="s">
        <v>88</v>
      </c>
      <c r="D30" s="49" t="s">
        <v>88</v>
      </c>
      <c r="E30" s="49" t="s">
        <v>89</v>
      </c>
      <c r="F30" s="52"/>
    </row>
    <row r="31" spans="1:6" x14ac:dyDescent="0.25">
      <c r="A31" s="52"/>
      <c r="B31" s="53" t="s">
        <v>90</v>
      </c>
      <c r="C31" s="59" t="s">
        <v>91</v>
      </c>
      <c r="D31" s="49" t="s">
        <v>92</v>
      </c>
      <c r="E31" s="49" t="s">
        <v>93</v>
      </c>
      <c r="F31" s="52"/>
    </row>
    <row r="32" spans="1:6" x14ac:dyDescent="0.25">
      <c r="A32" s="52"/>
      <c r="B32" s="53" t="s">
        <v>94</v>
      </c>
      <c r="C32" s="59" t="s">
        <v>95</v>
      </c>
      <c r="D32" s="49" t="s">
        <v>96</v>
      </c>
      <c r="E32" s="49" t="s">
        <v>97</v>
      </c>
      <c r="F32" s="52"/>
    </row>
    <row r="33" spans="1:6" x14ac:dyDescent="0.25">
      <c r="A33" s="52"/>
      <c r="B33" s="53" t="s">
        <v>98</v>
      </c>
      <c r="C33" s="59" t="s">
        <v>99</v>
      </c>
      <c r="D33" s="49" t="s">
        <v>100</v>
      </c>
      <c r="E33" s="49" t="s">
        <v>101</v>
      </c>
      <c r="F33" s="52"/>
    </row>
    <row r="34" spans="1:6" x14ac:dyDescent="0.25">
      <c r="A34" s="52"/>
      <c r="B34" s="53" t="s">
        <v>102</v>
      </c>
      <c r="C34" s="59" t="s">
        <v>103</v>
      </c>
      <c r="D34" s="49" t="s">
        <v>104</v>
      </c>
      <c r="E34" s="49" t="s">
        <v>105</v>
      </c>
      <c r="F34" s="52"/>
    </row>
    <row r="35" spans="1:6" x14ac:dyDescent="0.25">
      <c r="A35" s="52"/>
      <c r="B35" s="53" t="s">
        <v>106</v>
      </c>
      <c r="C35" s="59" t="s">
        <v>107</v>
      </c>
      <c r="D35" s="49" t="s">
        <v>108</v>
      </c>
      <c r="E35" s="49" t="s">
        <v>109</v>
      </c>
      <c r="F35" s="52"/>
    </row>
    <row r="36" spans="1:6" x14ac:dyDescent="0.25">
      <c r="A36" s="52"/>
      <c r="B36" s="53" t="s">
        <v>110</v>
      </c>
      <c r="C36" s="59" t="s">
        <v>111</v>
      </c>
      <c r="D36" s="49" t="s">
        <v>112</v>
      </c>
      <c r="E36" s="49" t="s">
        <v>113</v>
      </c>
      <c r="F36" s="52"/>
    </row>
    <row r="37" spans="1:6" x14ac:dyDescent="0.25">
      <c r="A37" s="52"/>
      <c r="B37" s="53" t="s">
        <v>114</v>
      </c>
      <c r="C37" s="59" t="s">
        <v>115</v>
      </c>
      <c r="D37" s="49" t="s">
        <v>116</v>
      </c>
      <c r="E37" s="49" t="s">
        <v>117</v>
      </c>
      <c r="F37" s="52"/>
    </row>
    <row r="38" spans="1:6" x14ac:dyDescent="0.25">
      <c r="A38" s="52"/>
      <c r="B38" s="53" t="s">
        <v>118</v>
      </c>
      <c r="C38" s="59" t="s">
        <v>119</v>
      </c>
      <c r="D38" s="49" t="s">
        <v>120</v>
      </c>
      <c r="E38" s="49" t="s">
        <v>121</v>
      </c>
      <c r="F38" s="52"/>
    </row>
    <row r="39" spans="1:6" x14ac:dyDescent="0.25">
      <c r="A39" s="52"/>
      <c r="B39" s="53" t="s">
        <v>122</v>
      </c>
      <c r="C39" s="59" t="s">
        <v>123</v>
      </c>
      <c r="D39" s="49" t="s">
        <v>124</v>
      </c>
      <c r="E39" s="49" t="s">
        <v>125</v>
      </c>
      <c r="F39" s="52"/>
    </row>
    <row r="40" spans="1:6" x14ac:dyDescent="0.25">
      <c r="A40" s="52"/>
      <c r="B40" s="53" t="s">
        <v>126</v>
      </c>
      <c r="C40" s="59" t="s">
        <v>127</v>
      </c>
      <c r="D40" s="49" t="s">
        <v>128</v>
      </c>
      <c r="E40" s="49" t="s">
        <v>128</v>
      </c>
      <c r="F40" s="52"/>
    </row>
    <row r="41" spans="1:6" x14ac:dyDescent="0.25">
      <c r="A41" s="52"/>
      <c r="B41" s="53" t="s">
        <v>129</v>
      </c>
      <c r="C41" s="59" t="s">
        <v>130</v>
      </c>
      <c r="D41" s="49" t="s">
        <v>131</v>
      </c>
      <c r="E41" s="49" t="s">
        <v>131</v>
      </c>
      <c r="F41" s="52"/>
    </row>
    <row r="42" spans="1:6" x14ac:dyDescent="0.25">
      <c r="A42" s="52"/>
      <c r="B42" s="53" t="s">
        <v>132</v>
      </c>
      <c r="C42" s="59" t="s">
        <v>133</v>
      </c>
      <c r="D42" s="49" t="s">
        <v>134</v>
      </c>
      <c r="E42" s="49" t="s">
        <v>133</v>
      </c>
      <c r="F42" s="52"/>
    </row>
    <row r="43" spans="1:6" x14ac:dyDescent="0.25">
      <c r="A43" s="52"/>
      <c r="B43" s="53" t="s">
        <v>135</v>
      </c>
      <c r="C43" s="59" t="s">
        <v>136</v>
      </c>
      <c r="D43" s="49" t="s">
        <v>137</v>
      </c>
      <c r="E43" s="49" t="s">
        <v>136</v>
      </c>
      <c r="F43" s="52"/>
    </row>
    <row r="44" spans="1:6" x14ac:dyDescent="0.25">
      <c r="A44" s="52"/>
      <c r="B44" s="53" t="s">
        <v>138</v>
      </c>
      <c r="C44" s="59" t="s">
        <v>139</v>
      </c>
      <c r="D44" s="49" t="s">
        <v>140</v>
      </c>
      <c r="E44" s="49" t="s">
        <v>141</v>
      </c>
      <c r="F44" s="52"/>
    </row>
    <row r="45" spans="1:6" x14ac:dyDescent="0.25">
      <c r="A45" s="52"/>
      <c r="B45" s="53" t="s">
        <v>142</v>
      </c>
      <c r="C45" s="59" t="s">
        <v>143</v>
      </c>
      <c r="D45" s="49" t="s">
        <v>143</v>
      </c>
      <c r="E45" s="49" t="s">
        <v>143</v>
      </c>
      <c r="F45" s="52"/>
    </row>
    <row r="46" spans="1:6" x14ac:dyDescent="0.25">
      <c r="A46" s="52"/>
      <c r="B46" s="53" t="s">
        <v>144</v>
      </c>
      <c r="C46" s="59" t="s">
        <v>145</v>
      </c>
      <c r="D46" s="49" t="s">
        <v>146</v>
      </c>
      <c r="E46" s="49" t="s">
        <v>147</v>
      </c>
      <c r="F46" s="52"/>
    </row>
    <row r="47" spans="1:6" x14ac:dyDescent="0.25">
      <c r="A47" s="52"/>
      <c r="B47" s="53" t="s">
        <v>148</v>
      </c>
      <c r="C47" s="59" t="s">
        <v>149</v>
      </c>
      <c r="D47" s="49" t="s">
        <v>150</v>
      </c>
      <c r="E47" s="49" t="s">
        <v>150</v>
      </c>
      <c r="F47" s="52"/>
    </row>
    <row r="48" spans="1:6" x14ac:dyDescent="0.25">
      <c r="A48" s="52"/>
      <c r="B48" s="52"/>
      <c r="C48" s="58"/>
      <c r="D48" s="58"/>
      <c r="E48" s="58"/>
      <c r="F48" s="52"/>
    </row>
    <row r="49" spans="1:6" ht="13" x14ac:dyDescent="0.25">
      <c r="A49" s="54"/>
      <c r="B49" s="53" t="s">
        <v>151</v>
      </c>
      <c r="C49" s="60" t="s">
        <v>152</v>
      </c>
      <c r="D49" s="57" t="s">
        <v>153</v>
      </c>
      <c r="E49" s="64" t="s">
        <v>197</v>
      </c>
      <c r="F49" s="58"/>
    </row>
    <row r="50" spans="1:6" ht="25" x14ac:dyDescent="0.25">
      <c r="A50" s="52"/>
      <c r="B50" s="53" t="s">
        <v>154</v>
      </c>
      <c r="C50" s="61" t="s">
        <v>155</v>
      </c>
      <c r="D50" s="57" t="s">
        <v>156</v>
      </c>
      <c r="E50" s="64" t="s">
        <v>198</v>
      </c>
      <c r="F50" s="58"/>
    </row>
    <row r="51" spans="1:6" ht="25" x14ac:dyDescent="0.25">
      <c r="A51" s="52"/>
      <c r="B51" s="53" t="s">
        <v>157</v>
      </c>
      <c r="C51" s="61" t="s">
        <v>158</v>
      </c>
      <c r="D51" s="57" t="s">
        <v>159</v>
      </c>
      <c r="E51" s="64" t="s">
        <v>199</v>
      </c>
      <c r="F51" s="58"/>
    </row>
    <row r="52" spans="1:6" ht="25" x14ac:dyDescent="0.25">
      <c r="A52" s="52"/>
      <c r="B52" s="53" t="s">
        <v>160</v>
      </c>
      <c r="C52" s="61" t="s">
        <v>161</v>
      </c>
      <c r="D52" s="53" t="s">
        <v>162</v>
      </c>
      <c r="E52" s="64" t="s">
        <v>200</v>
      </c>
      <c r="F52" s="58"/>
    </row>
    <row r="53" spans="1:6" ht="25" x14ac:dyDescent="0.25">
      <c r="A53" s="52"/>
      <c r="B53" s="53" t="s">
        <v>163</v>
      </c>
      <c r="C53" s="61" t="s">
        <v>164</v>
      </c>
      <c r="D53" s="57" t="s">
        <v>202</v>
      </c>
      <c r="E53" s="57" t="s">
        <v>201</v>
      </c>
      <c r="F53" s="58"/>
    </row>
    <row r="54" spans="1:6" ht="25" x14ac:dyDescent="0.25">
      <c r="A54" s="52"/>
      <c r="B54" s="53" t="s">
        <v>165</v>
      </c>
      <c r="C54" s="57" t="s">
        <v>166</v>
      </c>
      <c r="D54" s="57" t="s">
        <v>167</v>
      </c>
      <c r="E54" s="57" t="s">
        <v>168</v>
      </c>
      <c r="F54" s="58"/>
    </row>
    <row r="55" spans="1:6" ht="25" x14ac:dyDescent="0.25">
      <c r="A55" s="52"/>
      <c r="B55" s="53" t="s">
        <v>169</v>
      </c>
      <c r="C55" s="57" t="s">
        <v>170</v>
      </c>
      <c r="D55" s="57" t="s">
        <v>171</v>
      </c>
      <c r="E55" s="57" t="s">
        <v>172</v>
      </c>
      <c r="F55" s="58"/>
    </row>
    <row r="56" spans="1:6" ht="37.5" x14ac:dyDescent="0.25">
      <c r="A56" s="52"/>
      <c r="B56" s="53" t="s">
        <v>173</v>
      </c>
      <c r="C56" s="57" t="s">
        <v>174</v>
      </c>
      <c r="D56" s="57" t="s">
        <v>175</v>
      </c>
      <c r="E56" s="57" t="s">
        <v>176</v>
      </c>
      <c r="F56" s="58"/>
    </row>
    <row r="57" spans="1:6" ht="37.5" x14ac:dyDescent="0.25">
      <c r="A57" s="52"/>
      <c r="B57" s="53" t="s">
        <v>177</v>
      </c>
      <c r="C57" s="57" t="s">
        <v>178</v>
      </c>
      <c r="D57" s="57" t="s">
        <v>179</v>
      </c>
      <c r="E57" s="57" t="s">
        <v>180</v>
      </c>
      <c r="F57" s="58"/>
    </row>
    <row r="58" spans="1:6" x14ac:dyDescent="0.25">
      <c r="A58" s="52"/>
      <c r="B58" s="52"/>
      <c r="C58" s="58"/>
      <c r="D58" s="58"/>
      <c r="E58" s="58"/>
      <c r="F58" s="52"/>
    </row>
    <row r="59" spans="1:6" x14ac:dyDescent="0.25">
      <c r="A59" s="52" t="s">
        <v>16</v>
      </c>
      <c r="B59" s="53" t="s">
        <v>181</v>
      </c>
      <c r="C59" s="57" t="s">
        <v>182</v>
      </c>
      <c r="D59" s="57" t="s">
        <v>183</v>
      </c>
      <c r="E59" s="57" t="s">
        <v>184</v>
      </c>
      <c r="F59" s="52"/>
    </row>
    <row r="60" spans="1:6" x14ac:dyDescent="0.25">
      <c r="A60" s="52" t="s">
        <v>10</v>
      </c>
      <c r="B60" s="62" t="s">
        <v>185</v>
      </c>
      <c r="C60" s="63" t="s">
        <v>203</v>
      </c>
      <c r="D60" s="63" t="s">
        <v>204</v>
      </c>
      <c r="E60" s="63" t="s">
        <v>205</v>
      </c>
      <c r="F60" s="52"/>
    </row>
    <row r="61" spans="1:6" x14ac:dyDescent="0.25">
      <c r="A61" s="52"/>
      <c r="B61" s="52"/>
      <c r="C61" s="58"/>
      <c r="D61" s="58"/>
      <c r="E61" s="58"/>
      <c r="F61" s="52"/>
    </row>
    <row r="62" spans="1:6" ht="13" x14ac:dyDescent="0.25">
      <c r="A62" s="54"/>
      <c r="B62" s="55"/>
      <c r="C62" s="56"/>
      <c r="D62" s="56"/>
      <c r="E62" s="56"/>
      <c r="F62" s="5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26AD4D433F842B31B8F2E11C3D7DD" ma:contentTypeVersion="6" ma:contentTypeDescription="Ein neues Dokument erstellen." ma:contentTypeScope="" ma:versionID="fc86b419a5312ef30388d69da23aeff4">
  <xsd:schema xmlns:xsd="http://www.w3.org/2001/XMLSchema" xmlns:xs="http://www.w3.org/2001/XMLSchema" xmlns:p="http://schemas.microsoft.com/office/2006/metadata/properties" xmlns:ns1="http://schemas.microsoft.com/sharepoint/v3" xmlns:ns2="e8a48d95-b6dc-46ea-8dee-11ddfc24d8d8" targetNamespace="http://schemas.microsoft.com/office/2006/metadata/properties" ma:root="true" ma:fieldsID="c8472c40e3417b7de721acd23c96858c" ns1:_="" ns2:_="">
    <xsd:import namespace="http://schemas.microsoft.com/sharepoint/v3"/>
    <xsd:import namespace="e8a48d95-b6dc-46ea-8dee-11ddfc24d8d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8d95-b6dc-46ea-8dee-11ddfc24d8d8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e8a48d95-b6dc-46ea-8dee-11ddfc24d8d8">Erwerbstätigkeit</Kategorie>
    <Benutzerdefinierte_x0020_ID xmlns="e8a48d95-b6dc-46ea-8dee-11ddfc24d8d8">1003</Benutzerdefinierte_x0020_ID>
    <Titel_IT xmlns="e8a48d95-b6dc-46ea-8dee-11ddfc24d8d8">Tasso di occupazione e disoccupazione nei Grigioni e in Svizzera, 2022</Titel_IT>
    <Titel_RM xmlns="e8a48d95-b6dc-46ea-8dee-11ddfc24d8d8">Quota da las persunas cun e senza activitad da gudogn en il Grischun ed en Svizra, 2022</Titel_RM>
    <Titel_DE xmlns="e8a48d95-b6dc-46ea-8dee-11ddfc24d8d8">Erwerbs- und Erwerbslosenquote Graubünden und Schweiz, 2022</Titel_D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1AA7FA-DA20-4365-A8D6-07DE6865ACCE}"/>
</file>

<file path=customXml/itemProps2.xml><?xml version="1.0" encoding="utf-8"?>
<ds:datastoreItem xmlns:ds="http://schemas.openxmlformats.org/officeDocument/2006/customXml" ds:itemID="{B3600435-6740-41D8-967B-ED7BDC3AD27C}"/>
</file>

<file path=customXml/itemProps3.xml><?xml version="1.0" encoding="utf-8"?>
<ds:datastoreItem xmlns:ds="http://schemas.openxmlformats.org/officeDocument/2006/customXml" ds:itemID="{CE90CED6-3078-414D-AFE9-188AB24855D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Schweiz</vt:lpstr>
      <vt:lpstr>Uebersetzungen</vt:lpstr>
    </vt:vector>
  </TitlesOfParts>
  <Manager/>
  <Company>Kantonale Verwaltung Graubünden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Erwerbs- und Erwerbslosenquote Graubünden und Schweiz</dc:title>
  <dc:subject/>
  <dc:creator>Luzius.Stricker@awt.gr.ch</dc:creator>
  <cp:keywords/>
  <dc:description/>
  <cp:lastModifiedBy>Stricker Luzius</cp:lastModifiedBy>
  <cp:revision/>
  <dcterms:created xsi:type="dcterms:W3CDTF">2017-05-04T09:10:20Z</dcterms:created>
  <dcterms:modified xsi:type="dcterms:W3CDTF">2024-02-20T16:44:32Z</dcterms:modified>
  <cp:category>Strukturerhebung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0x01010028D26AD4D433F842B31B8F2E11C3D7DD</vt:lpwstr>
  </property>
</Properties>
</file>